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owainstitute.sharepoint.com/sites/Missouri/Shared Documents/General/HMIS/Reports/PIT and HIC/2026 PIT HIC/_Tools/Non-HMIS Self-Calculating/"/>
    </mc:Choice>
  </mc:AlternateContent>
  <xr:revisionPtr revIDLastSave="0" documentId="8_{4E94D30B-FDC6-4F12-9582-4D358FA70071}" xr6:coauthVersionLast="47" xr6:coauthVersionMax="47" xr10:uidLastSave="{00000000-0000-0000-0000-000000000000}"/>
  <workbookProtection workbookAlgorithmName="SHA-512" workbookHashValue="PRCNJTYqZLMQOOuSSo6SR1JyZtduQSNK3bfNN3IPYB8jDo+DQ2ka/JW24fQRiYbmNOn7g7XlNPjvV6LKItOPzg==" workbookSaltValue="b1RmQOnJX6kX/urWDvM4yQ==" workbookSpinCount="100000" lockStructure="1"/>
  <bookViews>
    <workbookView xWindow="-120" yWindow="-120" windowWidth="29040" windowHeight="15720" xr2:uid="{00000000-000D-0000-FFFF-FFFF00000000}"/>
  </bookViews>
  <sheets>
    <sheet name="Project Information" sheetId="5" r:id="rId1"/>
    <sheet name="Client Level Data" sheetId="1" r:id="rId2"/>
    <sheet name="PIT Count" sheetId="2" r:id="rId3"/>
    <sheet name="Lookup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2" l="1"/>
  <c r="G72" i="2"/>
  <c r="G71" i="2"/>
  <c r="G52" i="2"/>
  <c r="G51" i="2"/>
  <c r="G42" i="2"/>
  <c r="E132" i="2"/>
  <c r="E131" i="2"/>
  <c r="E129" i="2"/>
  <c r="E112" i="2"/>
  <c r="E110" i="2"/>
  <c r="E104" i="2"/>
  <c r="E103" i="2"/>
  <c r="E80" i="2"/>
  <c r="E78" i="2"/>
  <c r="E72" i="2"/>
  <c r="E52" i="2"/>
  <c r="E51" i="2"/>
  <c r="E42" i="2"/>
  <c r="E25" i="2"/>
  <c r="G25" i="2"/>
  <c r="I25" i="2"/>
  <c r="I16" i="2"/>
  <c r="G16" i="2"/>
  <c r="E16" i="2"/>
  <c r="U8" i="1" l="1"/>
  <c r="AB8" i="1"/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T9" i="1"/>
  <c r="AC9" i="1" s="1"/>
  <c r="W8" i="1" l="1"/>
  <c r="Q8" i="1"/>
  <c r="C148" i="2" a="1"/>
  <c r="C148" i="2" s="1"/>
  <c r="C162" i="2" a="1"/>
  <c r="C162" i="2" s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S207" i="1"/>
  <c r="T207" i="1"/>
  <c r="AC207" i="1" s="1"/>
  <c r="U207" i="1"/>
  <c r="V207" i="1"/>
  <c r="W207" i="1"/>
  <c r="S206" i="1"/>
  <c r="T206" i="1"/>
  <c r="AC206" i="1" s="1"/>
  <c r="U206" i="1"/>
  <c r="V206" i="1"/>
  <c r="W206" i="1"/>
  <c r="S205" i="1"/>
  <c r="T205" i="1"/>
  <c r="AC205" i="1" s="1"/>
  <c r="U205" i="1"/>
  <c r="V205" i="1"/>
  <c r="W205" i="1"/>
  <c r="S204" i="1"/>
  <c r="T204" i="1"/>
  <c r="AC204" i="1" s="1"/>
  <c r="U204" i="1"/>
  <c r="V204" i="1"/>
  <c r="W204" i="1"/>
  <c r="S203" i="1"/>
  <c r="T203" i="1"/>
  <c r="AC203" i="1" s="1"/>
  <c r="U203" i="1"/>
  <c r="V203" i="1"/>
  <c r="W203" i="1"/>
  <c r="S202" i="1"/>
  <c r="T202" i="1"/>
  <c r="AC202" i="1" s="1"/>
  <c r="U202" i="1"/>
  <c r="V202" i="1"/>
  <c r="W202" i="1"/>
  <c r="S201" i="1"/>
  <c r="T201" i="1"/>
  <c r="AC201" i="1" s="1"/>
  <c r="U201" i="1"/>
  <c r="V201" i="1"/>
  <c r="W201" i="1"/>
  <c r="S200" i="1"/>
  <c r="T200" i="1"/>
  <c r="AC200" i="1" s="1"/>
  <c r="U200" i="1"/>
  <c r="V200" i="1"/>
  <c r="W200" i="1"/>
  <c r="S199" i="1"/>
  <c r="T199" i="1"/>
  <c r="AC199" i="1" s="1"/>
  <c r="U199" i="1"/>
  <c r="V199" i="1"/>
  <c r="W199" i="1"/>
  <c r="S198" i="1"/>
  <c r="T198" i="1"/>
  <c r="AC198" i="1" s="1"/>
  <c r="U198" i="1"/>
  <c r="V198" i="1"/>
  <c r="W198" i="1"/>
  <c r="S197" i="1"/>
  <c r="T197" i="1"/>
  <c r="AC197" i="1" s="1"/>
  <c r="U197" i="1"/>
  <c r="V197" i="1"/>
  <c r="W197" i="1"/>
  <c r="S196" i="1"/>
  <c r="T196" i="1"/>
  <c r="AC196" i="1" s="1"/>
  <c r="U196" i="1"/>
  <c r="V196" i="1"/>
  <c r="W196" i="1"/>
  <c r="S195" i="1"/>
  <c r="T195" i="1"/>
  <c r="AC195" i="1" s="1"/>
  <c r="U195" i="1"/>
  <c r="V195" i="1"/>
  <c r="W195" i="1"/>
  <c r="S194" i="1"/>
  <c r="T194" i="1"/>
  <c r="AC194" i="1" s="1"/>
  <c r="U194" i="1"/>
  <c r="V194" i="1"/>
  <c r="W194" i="1"/>
  <c r="S193" i="1"/>
  <c r="T193" i="1"/>
  <c r="AC193" i="1" s="1"/>
  <c r="U193" i="1"/>
  <c r="V193" i="1"/>
  <c r="W193" i="1"/>
  <c r="S192" i="1"/>
  <c r="T192" i="1"/>
  <c r="AC192" i="1" s="1"/>
  <c r="U192" i="1"/>
  <c r="V192" i="1"/>
  <c r="W192" i="1"/>
  <c r="S191" i="1"/>
  <c r="T191" i="1"/>
  <c r="AC191" i="1" s="1"/>
  <c r="U191" i="1"/>
  <c r="V191" i="1"/>
  <c r="W191" i="1"/>
  <c r="S190" i="1"/>
  <c r="T190" i="1"/>
  <c r="AC190" i="1" s="1"/>
  <c r="U190" i="1"/>
  <c r="V190" i="1"/>
  <c r="W190" i="1"/>
  <c r="S189" i="1"/>
  <c r="T189" i="1"/>
  <c r="AC189" i="1" s="1"/>
  <c r="U189" i="1"/>
  <c r="V189" i="1"/>
  <c r="W189" i="1"/>
  <c r="S188" i="1"/>
  <c r="T188" i="1"/>
  <c r="AC188" i="1" s="1"/>
  <c r="U188" i="1"/>
  <c r="V188" i="1"/>
  <c r="W188" i="1"/>
  <c r="S187" i="1"/>
  <c r="T187" i="1"/>
  <c r="AC187" i="1" s="1"/>
  <c r="U187" i="1"/>
  <c r="V187" i="1"/>
  <c r="W187" i="1"/>
  <c r="S186" i="1"/>
  <c r="T186" i="1"/>
  <c r="AC186" i="1" s="1"/>
  <c r="U186" i="1"/>
  <c r="V186" i="1"/>
  <c r="W186" i="1"/>
  <c r="S185" i="1"/>
  <c r="T185" i="1"/>
  <c r="AC185" i="1" s="1"/>
  <c r="U185" i="1"/>
  <c r="V185" i="1"/>
  <c r="W185" i="1"/>
  <c r="S184" i="1"/>
  <c r="T184" i="1"/>
  <c r="AC184" i="1" s="1"/>
  <c r="U184" i="1"/>
  <c r="V184" i="1"/>
  <c r="W184" i="1"/>
  <c r="S183" i="1"/>
  <c r="T183" i="1"/>
  <c r="AC183" i="1" s="1"/>
  <c r="U183" i="1"/>
  <c r="V183" i="1"/>
  <c r="W183" i="1"/>
  <c r="S182" i="1"/>
  <c r="T182" i="1"/>
  <c r="AC182" i="1" s="1"/>
  <c r="U182" i="1"/>
  <c r="V182" i="1"/>
  <c r="W182" i="1"/>
  <c r="S181" i="1"/>
  <c r="T181" i="1"/>
  <c r="AC181" i="1" s="1"/>
  <c r="U181" i="1"/>
  <c r="V181" i="1"/>
  <c r="W181" i="1"/>
  <c r="S180" i="1"/>
  <c r="T180" i="1"/>
  <c r="AC180" i="1" s="1"/>
  <c r="U180" i="1"/>
  <c r="V180" i="1"/>
  <c r="W180" i="1"/>
  <c r="S179" i="1"/>
  <c r="T179" i="1"/>
  <c r="AC179" i="1" s="1"/>
  <c r="U179" i="1"/>
  <c r="V179" i="1"/>
  <c r="W179" i="1"/>
  <c r="S178" i="1"/>
  <c r="T178" i="1"/>
  <c r="AC178" i="1" s="1"/>
  <c r="U178" i="1"/>
  <c r="V178" i="1"/>
  <c r="W178" i="1"/>
  <c r="S177" i="1"/>
  <c r="T177" i="1"/>
  <c r="AC177" i="1" s="1"/>
  <c r="U177" i="1"/>
  <c r="V177" i="1"/>
  <c r="W177" i="1"/>
  <c r="S176" i="1"/>
  <c r="T176" i="1"/>
  <c r="AC176" i="1" s="1"/>
  <c r="U176" i="1"/>
  <c r="V176" i="1"/>
  <c r="W176" i="1"/>
  <c r="S175" i="1"/>
  <c r="T175" i="1"/>
  <c r="AC175" i="1" s="1"/>
  <c r="U175" i="1"/>
  <c r="V175" i="1"/>
  <c r="W175" i="1"/>
  <c r="S174" i="1"/>
  <c r="T174" i="1"/>
  <c r="AC174" i="1" s="1"/>
  <c r="U174" i="1"/>
  <c r="V174" i="1"/>
  <c r="W174" i="1"/>
  <c r="S173" i="1"/>
  <c r="T173" i="1"/>
  <c r="AC173" i="1" s="1"/>
  <c r="U173" i="1"/>
  <c r="V173" i="1"/>
  <c r="W173" i="1"/>
  <c r="S172" i="1"/>
  <c r="T172" i="1"/>
  <c r="AC172" i="1" s="1"/>
  <c r="U172" i="1"/>
  <c r="V172" i="1"/>
  <c r="W172" i="1"/>
  <c r="S171" i="1"/>
  <c r="T171" i="1"/>
  <c r="AC171" i="1" s="1"/>
  <c r="U171" i="1"/>
  <c r="V171" i="1"/>
  <c r="W171" i="1"/>
  <c r="S170" i="1"/>
  <c r="T170" i="1"/>
  <c r="AC170" i="1" s="1"/>
  <c r="U170" i="1"/>
  <c r="V170" i="1"/>
  <c r="W170" i="1"/>
  <c r="S169" i="1"/>
  <c r="T169" i="1"/>
  <c r="AC169" i="1" s="1"/>
  <c r="U169" i="1"/>
  <c r="V169" i="1"/>
  <c r="W169" i="1"/>
  <c r="S168" i="1"/>
  <c r="T168" i="1"/>
  <c r="AC168" i="1" s="1"/>
  <c r="U168" i="1"/>
  <c r="V168" i="1"/>
  <c r="W168" i="1"/>
  <c r="S167" i="1"/>
  <c r="T167" i="1"/>
  <c r="AC167" i="1" s="1"/>
  <c r="U167" i="1"/>
  <c r="V167" i="1"/>
  <c r="W167" i="1"/>
  <c r="S166" i="1"/>
  <c r="T166" i="1"/>
  <c r="AC166" i="1" s="1"/>
  <c r="U166" i="1"/>
  <c r="V166" i="1"/>
  <c r="W166" i="1"/>
  <c r="S165" i="1"/>
  <c r="T165" i="1"/>
  <c r="AC165" i="1" s="1"/>
  <c r="U165" i="1"/>
  <c r="V165" i="1"/>
  <c r="W165" i="1"/>
  <c r="S164" i="1"/>
  <c r="T164" i="1"/>
  <c r="AC164" i="1" s="1"/>
  <c r="U164" i="1"/>
  <c r="V164" i="1"/>
  <c r="W164" i="1"/>
  <c r="S163" i="1"/>
  <c r="T163" i="1"/>
  <c r="AC163" i="1" s="1"/>
  <c r="U163" i="1"/>
  <c r="V163" i="1"/>
  <c r="W163" i="1"/>
  <c r="S162" i="1"/>
  <c r="T162" i="1"/>
  <c r="AC162" i="1" s="1"/>
  <c r="U162" i="1"/>
  <c r="V162" i="1"/>
  <c r="W162" i="1"/>
  <c r="S161" i="1"/>
  <c r="T161" i="1"/>
  <c r="AC161" i="1" s="1"/>
  <c r="U161" i="1"/>
  <c r="V161" i="1"/>
  <c r="W161" i="1"/>
  <c r="S160" i="1"/>
  <c r="T160" i="1"/>
  <c r="AC160" i="1" s="1"/>
  <c r="U160" i="1"/>
  <c r="V160" i="1"/>
  <c r="W160" i="1"/>
  <c r="S159" i="1"/>
  <c r="T159" i="1"/>
  <c r="AC159" i="1" s="1"/>
  <c r="U159" i="1"/>
  <c r="V159" i="1"/>
  <c r="W159" i="1"/>
  <c r="S158" i="1"/>
  <c r="T158" i="1"/>
  <c r="AC158" i="1" s="1"/>
  <c r="U158" i="1"/>
  <c r="V158" i="1"/>
  <c r="W158" i="1"/>
  <c r="S157" i="1"/>
  <c r="T157" i="1"/>
  <c r="AC157" i="1" s="1"/>
  <c r="U157" i="1"/>
  <c r="V157" i="1"/>
  <c r="W157" i="1"/>
  <c r="S156" i="1"/>
  <c r="T156" i="1"/>
  <c r="AC156" i="1" s="1"/>
  <c r="U156" i="1"/>
  <c r="V156" i="1"/>
  <c r="W156" i="1"/>
  <c r="S155" i="1"/>
  <c r="T155" i="1"/>
  <c r="AC155" i="1" s="1"/>
  <c r="U155" i="1"/>
  <c r="V155" i="1"/>
  <c r="W155" i="1"/>
  <c r="S154" i="1"/>
  <c r="T154" i="1"/>
  <c r="AC154" i="1" s="1"/>
  <c r="U154" i="1"/>
  <c r="V154" i="1"/>
  <c r="W154" i="1"/>
  <c r="S153" i="1"/>
  <c r="T153" i="1"/>
  <c r="AC153" i="1" s="1"/>
  <c r="U153" i="1"/>
  <c r="V153" i="1"/>
  <c r="W153" i="1"/>
  <c r="S152" i="1"/>
  <c r="T152" i="1"/>
  <c r="AC152" i="1" s="1"/>
  <c r="U152" i="1"/>
  <c r="V152" i="1"/>
  <c r="W152" i="1"/>
  <c r="S151" i="1"/>
  <c r="T151" i="1"/>
  <c r="AC151" i="1" s="1"/>
  <c r="U151" i="1"/>
  <c r="V151" i="1"/>
  <c r="W151" i="1"/>
  <c r="S150" i="1"/>
  <c r="T150" i="1"/>
  <c r="AC150" i="1" s="1"/>
  <c r="U150" i="1"/>
  <c r="V150" i="1"/>
  <c r="W150" i="1"/>
  <c r="S149" i="1"/>
  <c r="T149" i="1"/>
  <c r="AC149" i="1" s="1"/>
  <c r="U149" i="1"/>
  <c r="V149" i="1"/>
  <c r="W149" i="1"/>
  <c r="S148" i="1"/>
  <c r="T148" i="1"/>
  <c r="AC148" i="1" s="1"/>
  <c r="U148" i="1"/>
  <c r="V148" i="1"/>
  <c r="W148" i="1"/>
  <c r="S147" i="1"/>
  <c r="T147" i="1"/>
  <c r="AC147" i="1" s="1"/>
  <c r="U147" i="1"/>
  <c r="V147" i="1"/>
  <c r="W147" i="1"/>
  <c r="S146" i="1"/>
  <c r="T146" i="1"/>
  <c r="AC146" i="1" s="1"/>
  <c r="U146" i="1"/>
  <c r="V146" i="1"/>
  <c r="W146" i="1"/>
  <c r="S145" i="1"/>
  <c r="T145" i="1"/>
  <c r="AC145" i="1" s="1"/>
  <c r="U145" i="1"/>
  <c r="V145" i="1"/>
  <c r="W145" i="1"/>
  <c r="S144" i="1"/>
  <c r="T144" i="1"/>
  <c r="AC144" i="1" s="1"/>
  <c r="U144" i="1"/>
  <c r="V144" i="1"/>
  <c r="W144" i="1"/>
  <c r="S143" i="1"/>
  <c r="T143" i="1"/>
  <c r="AC143" i="1" s="1"/>
  <c r="U143" i="1"/>
  <c r="V143" i="1"/>
  <c r="W143" i="1"/>
  <c r="S142" i="1"/>
  <c r="T142" i="1"/>
  <c r="AC142" i="1" s="1"/>
  <c r="U142" i="1"/>
  <c r="V142" i="1"/>
  <c r="W142" i="1"/>
  <c r="S141" i="1"/>
  <c r="T141" i="1"/>
  <c r="AC141" i="1" s="1"/>
  <c r="U141" i="1"/>
  <c r="V141" i="1"/>
  <c r="W141" i="1"/>
  <c r="S140" i="1"/>
  <c r="T140" i="1"/>
  <c r="AC140" i="1" s="1"/>
  <c r="U140" i="1"/>
  <c r="V140" i="1"/>
  <c r="W140" i="1"/>
  <c r="S139" i="1"/>
  <c r="T139" i="1"/>
  <c r="AC139" i="1" s="1"/>
  <c r="U139" i="1"/>
  <c r="V139" i="1"/>
  <c r="W139" i="1"/>
  <c r="S138" i="1"/>
  <c r="T138" i="1"/>
  <c r="AC138" i="1" s="1"/>
  <c r="U138" i="1"/>
  <c r="V138" i="1"/>
  <c r="W138" i="1"/>
  <c r="S137" i="1"/>
  <c r="T137" i="1"/>
  <c r="AC137" i="1" s="1"/>
  <c r="U137" i="1"/>
  <c r="V137" i="1"/>
  <c r="W137" i="1"/>
  <c r="S136" i="1"/>
  <c r="T136" i="1"/>
  <c r="AC136" i="1" s="1"/>
  <c r="U136" i="1"/>
  <c r="V136" i="1"/>
  <c r="W136" i="1"/>
  <c r="S135" i="1"/>
  <c r="T135" i="1"/>
  <c r="AC135" i="1" s="1"/>
  <c r="U135" i="1"/>
  <c r="V135" i="1"/>
  <c r="W135" i="1"/>
  <c r="S134" i="1"/>
  <c r="T134" i="1"/>
  <c r="AC134" i="1" s="1"/>
  <c r="U134" i="1"/>
  <c r="V134" i="1"/>
  <c r="W134" i="1"/>
  <c r="S133" i="1"/>
  <c r="T133" i="1"/>
  <c r="AC133" i="1" s="1"/>
  <c r="U133" i="1"/>
  <c r="V133" i="1"/>
  <c r="W133" i="1"/>
  <c r="S132" i="1"/>
  <c r="T132" i="1"/>
  <c r="AC132" i="1" s="1"/>
  <c r="U132" i="1"/>
  <c r="V132" i="1"/>
  <c r="W132" i="1"/>
  <c r="S131" i="1"/>
  <c r="T131" i="1"/>
  <c r="AC131" i="1" s="1"/>
  <c r="U131" i="1"/>
  <c r="V131" i="1"/>
  <c r="W131" i="1"/>
  <c r="S130" i="1"/>
  <c r="T130" i="1"/>
  <c r="AC130" i="1" s="1"/>
  <c r="U130" i="1"/>
  <c r="V130" i="1"/>
  <c r="W130" i="1"/>
  <c r="S129" i="1"/>
  <c r="T129" i="1"/>
  <c r="AC129" i="1" s="1"/>
  <c r="U129" i="1"/>
  <c r="V129" i="1"/>
  <c r="W129" i="1"/>
  <c r="S128" i="1"/>
  <c r="T128" i="1"/>
  <c r="AC128" i="1" s="1"/>
  <c r="U128" i="1"/>
  <c r="V128" i="1"/>
  <c r="W128" i="1"/>
  <c r="S127" i="1"/>
  <c r="T127" i="1"/>
  <c r="AC127" i="1" s="1"/>
  <c r="U127" i="1"/>
  <c r="V127" i="1"/>
  <c r="W127" i="1"/>
  <c r="S126" i="1"/>
  <c r="T126" i="1"/>
  <c r="AC126" i="1" s="1"/>
  <c r="U126" i="1"/>
  <c r="V126" i="1"/>
  <c r="W126" i="1"/>
  <c r="S125" i="1"/>
  <c r="T125" i="1"/>
  <c r="AC125" i="1" s="1"/>
  <c r="U125" i="1"/>
  <c r="V125" i="1"/>
  <c r="W125" i="1"/>
  <c r="S124" i="1"/>
  <c r="T124" i="1"/>
  <c r="AC124" i="1" s="1"/>
  <c r="U124" i="1"/>
  <c r="V124" i="1"/>
  <c r="W124" i="1"/>
  <c r="S123" i="1"/>
  <c r="T123" i="1"/>
  <c r="AC123" i="1" s="1"/>
  <c r="U123" i="1"/>
  <c r="V123" i="1"/>
  <c r="W123" i="1"/>
  <c r="S122" i="1"/>
  <c r="T122" i="1"/>
  <c r="AC122" i="1" s="1"/>
  <c r="U122" i="1"/>
  <c r="V122" i="1"/>
  <c r="W122" i="1"/>
  <c r="S121" i="1"/>
  <c r="T121" i="1"/>
  <c r="AC121" i="1" s="1"/>
  <c r="U121" i="1"/>
  <c r="V121" i="1"/>
  <c r="W121" i="1"/>
  <c r="S120" i="1"/>
  <c r="T120" i="1"/>
  <c r="AC120" i="1" s="1"/>
  <c r="U120" i="1"/>
  <c r="V120" i="1"/>
  <c r="W120" i="1"/>
  <c r="S119" i="1"/>
  <c r="T119" i="1"/>
  <c r="AC119" i="1" s="1"/>
  <c r="U119" i="1"/>
  <c r="V119" i="1"/>
  <c r="W119" i="1"/>
  <c r="S118" i="1"/>
  <c r="T118" i="1"/>
  <c r="AC118" i="1" s="1"/>
  <c r="U118" i="1"/>
  <c r="V118" i="1"/>
  <c r="W118" i="1"/>
  <c r="S117" i="1"/>
  <c r="T117" i="1"/>
  <c r="AC117" i="1" s="1"/>
  <c r="U117" i="1"/>
  <c r="V117" i="1"/>
  <c r="W117" i="1"/>
  <c r="S116" i="1"/>
  <c r="T116" i="1"/>
  <c r="AC116" i="1" s="1"/>
  <c r="U116" i="1"/>
  <c r="V116" i="1"/>
  <c r="W116" i="1"/>
  <c r="S115" i="1"/>
  <c r="T115" i="1"/>
  <c r="AC115" i="1" s="1"/>
  <c r="U115" i="1"/>
  <c r="V115" i="1"/>
  <c r="W115" i="1"/>
  <c r="S114" i="1"/>
  <c r="T114" i="1"/>
  <c r="AC114" i="1" s="1"/>
  <c r="U114" i="1"/>
  <c r="V114" i="1"/>
  <c r="W114" i="1"/>
  <c r="C5" i="2"/>
  <c r="C6" i="2"/>
  <c r="C7" i="2"/>
  <c r="C10" i="2"/>
  <c r="C9" i="2"/>
  <c r="C8" i="2"/>
  <c r="A4" i="1"/>
  <c r="R11" i="1" s="1"/>
  <c r="X11" i="1" s="1"/>
  <c r="W11" i="1"/>
  <c r="V11" i="1"/>
  <c r="U11" i="1"/>
  <c r="T11" i="1"/>
  <c r="AC11" i="1" s="1"/>
  <c r="S11" i="1"/>
  <c r="Q11" i="1"/>
  <c r="Y11" i="1" l="1"/>
  <c r="Z11" i="1" s="1"/>
  <c r="R138" i="1"/>
  <c r="X138" i="1" s="1"/>
  <c r="R170" i="1"/>
  <c r="X170" i="1" s="1"/>
  <c r="R118" i="1"/>
  <c r="X118" i="1" s="1"/>
  <c r="R126" i="1"/>
  <c r="X126" i="1" s="1"/>
  <c r="R150" i="1"/>
  <c r="X150" i="1" s="1"/>
  <c r="R158" i="1"/>
  <c r="X158" i="1" s="1"/>
  <c r="R114" i="1"/>
  <c r="X114" i="1" s="1"/>
  <c r="R146" i="1"/>
  <c r="X146" i="1" s="1"/>
  <c r="R178" i="1"/>
  <c r="X178" i="1" s="1"/>
  <c r="R134" i="1"/>
  <c r="X134" i="1" s="1"/>
  <c r="R166" i="1"/>
  <c r="X166" i="1" s="1"/>
  <c r="R122" i="1"/>
  <c r="X122" i="1" s="1"/>
  <c r="R154" i="1"/>
  <c r="X154" i="1" s="1"/>
  <c r="R142" i="1"/>
  <c r="X142" i="1" s="1"/>
  <c r="R174" i="1"/>
  <c r="X174" i="1" s="1"/>
  <c r="R130" i="1"/>
  <c r="X130" i="1" s="1"/>
  <c r="R162" i="1"/>
  <c r="X162" i="1" s="1"/>
  <c r="R116" i="1"/>
  <c r="X116" i="1" s="1"/>
  <c r="R136" i="1"/>
  <c r="X136" i="1" s="1"/>
  <c r="R144" i="1"/>
  <c r="X144" i="1" s="1"/>
  <c r="R148" i="1"/>
  <c r="X148" i="1" s="1"/>
  <c r="R152" i="1"/>
  <c r="X152" i="1" s="1"/>
  <c r="R156" i="1"/>
  <c r="X156" i="1" s="1"/>
  <c r="R160" i="1"/>
  <c r="X160" i="1" s="1"/>
  <c r="R164" i="1"/>
  <c r="X164" i="1" s="1"/>
  <c r="R168" i="1"/>
  <c r="X168" i="1" s="1"/>
  <c r="R172" i="1"/>
  <c r="X172" i="1" s="1"/>
  <c r="R176" i="1"/>
  <c r="X176" i="1" s="1"/>
  <c r="R180" i="1"/>
  <c r="X180" i="1" s="1"/>
  <c r="R184" i="1"/>
  <c r="X184" i="1" s="1"/>
  <c r="R188" i="1"/>
  <c r="X188" i="1" s="1"/>
  <c r="R192" i="1"/>
  <c r="X192" i="1" s="1"/>
  <c r="R196" i="1"/>
  <c r="X196" i="1" s="1"/>
  <c r="R200" i="1"/>
  <c r="X200" i="1" s="1"/>
  <c r="R204" i="1"/>
  <c r="X204" i="1" s="1"/>
  <c r="R124" i="1"/>
  <c r="X124" i="1" s="1"/>
  <c r="R128" i="1"/>
  <c r="X128" i="1" s="1"/>
  <c r="R132" i="1"/>
  <c r="X132" i="1" s="1"/>
  <c r="R140" i="1"/>
  <c r="X140" i="1" s="1"/>
  <c r="R115" i="1"/>
  <c r="X115" i="1" s="1"/>
  <c r="R119" i="1"/>
  <c r="X119" i="1" s="1"/>
  <c r="R123" i="1"/>
  <c r="X123" i="1" s="1"/>
  <c r="R127" i="1"/>
  <c r="X127" i="1" s="1"/>
  <c r="R131" i="1"/>
  <c r="X131" i="1" s="1"/>
  <c r="R135" i="1"/>
  <c r="X135" i="1" s="1"/>
  <c r="R139" i="1"/>
  <c r="X139" i="1" s="1"/>
  <c r="R143" i="1"/>
  <c r="X143" i="1" s="1"/>
  <c r="R147" i="1"/>
  <c r="X147" i="1" s="1"/>
  <c r="R151" i="1"/>
  <c r="X151" i="1" s="1"/>
  <c r="R155" i="1"/>
  <c r="X155" i="1" s="1"/>
  <c r="R159" i="1"/>
  <c r="X159" i="1" s="1"/>
  <c r="R163" i="1"/>
  <c r="X163" i="1" s="1"/>
  <c r="R167" i="1"/>
  <c r="X167" i="1" s="1"/>
  <c r="R171" i="1"/>
  <c r="X171" i="1" s="1"/>
  <c r="R175" i="1"/>
  <c r="X175" i="1" s="1"/>
  <c r="R179" i="1"/>
  <c r="X179" i="1" s="1"/>
  <c r="R183" i="1"/>
  <c r="X183" i="1" s="1"/>
  <c r="R187" i="1"/>
  <c r="X187" i="1" s="1"/>
  <c r="R191" i="1"/>
  <c r="X191" i="1" s="1"/>
  <c r="R195" i="1"/>
  <c r="X195" i="1" s="1"/>
  <c r="R199" i="1"/>
  <c r="X199" i="1" s="1"/>
  <c r="R203" i="1"/>
  <c r="X203" i="1" s="1"/>
  <c r="R207" i="1"/>
  <c r="X207" i="1" s="1"/>
  <c r="R120" i="1"/>
  <c r="X120" i="1" s="1"/>
  <c r="R206" i="1"/>
  <c r="X206" i="1" s="1"/>
  <c r="R182" i="1"/>
  <c r="X182" i="1" s="1"/>
  <c r="R186" i="1"/>
  <c r="X186" i="1" s="1"/>
  <c r="R190" i="1"/>
  <c r="X190" i="1" s="1"/>
  <c r="R194" i="1"/>
  <c r="X194" i="1" s="1"/>
  <c r="R198" i="1"/>
  <c r="X198" i="1" s="1"/>
  <c r="R202" i="1"/>
  <c r="X202" i="1" s="1"/>
  <c r="R117" i="1"/>
  <c r="X117" i="1" s="1"/>
  <c r="R121" i="1"/>
  <c r="X121" i="1" s="1"/>
  <c r="R125" i="1"/>
  <c r="X125" i="1" s="1"/>
  <c r="R129" i="1"/>
  <c r="X129" i="1" s="1"/>
  <c r="R133" i="1"/>
  <c r="X133" i="1" s="1"/>
  <c r="R137" i="1"/>
  <c r="X137" i="1" s="1"/>
  <c r="R141" i="1"/>
  <c r="X141" i="1" s="1"/>
  <c r="R145" i="1"/>
  <c r="X145" i="1" s="1"/>
  <c r="R149" i="1"/>
  <c r="X149" i="1" s="1"/>
  <c r="R153" i="1"/>
  <c r="X153" i="1" s="1"/>
  <c r="R157" i="1"/>
  <c r="X157" i="1" s="1"/>
  <c r="R161" i="1"/>
  <c r="X161" i="1" s="1"/>
  <c r="R165" i="1"/>
  <c r="X165" i="1" s="1"/>
  <c r="R169" i="1"/>
  <c r="X169" i="1" s="1"/>
  <c r="R173" i="1"/>
  <c r="X173" i="1" s="1"/>
  <c r="R177" i="1"/>
  <c r="X177" i="1" s="1"/>
  <c r="R181" i="1"/>
  <c r="X181" i="1" s="1"/>
  <c r="R185" i="1"/>
  <c r="X185" i="1" s="1"/>
  <c r="R189" i="1"/>
  <c r="X189" i="1" s="1"/>
  <c r="R193" i="1"/>
  <c r="X193" i="1" s="1"/>
  <c r="R197" i="1"/>
  <c r="X197" i="1" s="1"/>
  <c r="R201" i="1"/>
  <c r="X201" i="1" s="1"/>
  <c r="R205" i="1"/>
  <c r="X205" i="1" s="1"/>
  <c r="I4" i="1"/>
  <c r="D110" i="2" s="1"/>
  <c r="C163" i="2" a="1"/>
  <c r="C163" i="2" s="1"/>
  <c r="C164" i="2" s="1" a="1"/>
  <c r="C164" i="2" s="1"/>
  <c r="C149" i="2" a="1"/>
  <c r="C149" i="2" s="1"/>
  <c r="C150" i="2" s="1" a="1"/>
  <c r="C150" i="2" s="1"/>
  <c r="D148" i="2"/>
  <c r="D137" i="2"/>
  <c r="D131" i="2"/>
  <c r="D103" i="2"/>
  <c r="D60" i="2"/>
  <c r="V8" i="1"/>
  <c r="S10" i="1"/>
  <c r="H193" i="2" s="1"/>
  <c r="S12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W9" i="1"/>
  <c r="W10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U9" i="1"/>
  <c r="U10" i="1"/>
  <c r="U12" i="1"/>
  <c r="U13" i="1"/>
  <c r="U14" i="1"/>
  <c r="U15" i="1"/>
  <c r="U16" i="1"/>
  <c r="U17" i="1"/>
  <c r="U18" i="1"/>
  <c r="U19" i="1"/>
  <c r="U20" i="1"/>
  <c r="U21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T8" i="1"/>
  <c r="AC8" i="1" s="1"/>
  <c r="T10" i="1"/>
  <c r="AC10" i="1" s="1"/>
  <c r="T12" i="1"/>
  <c r="AC12" i="1" s="1"/>
  <c r="T13" i="1"/>
  <c r="AC13" i="1" s="1"/>
  <c r="T14" i="1"/>
  <c r="AC14" i="1" s="1"/>
  <c r="T15" i="1"/>
  <c r="AC15" i="1" s="1"/>
  <c r="T16" i="1"/>
  <c r="AC16" i="1" s="1"/>
  <c r="T17" i="1"/>
  <c r="AC17" i="1" s="1"/>
  <c r="T18" i="1"/>
  <c r="AC18" i="1" s="1"/>
  <c r="T19" i="1"/>
  <c r="AC19" i="1" s="1"/>
  <c r="T20" i="1"/>
  <c r="AC20" i="1" s="1"/>
  <c r="T23" i="1"/>
  <c r="AC23" i="1" s="1"/>
  <c r="T24" i="1"/>
  <c r="AC24" i="1" s="1"/>
  <c r="T25" i="1"/>
  <c r="AC25" i="1" s="1"/>
  <c r="T27" i="1"/>
  <c r="AC27" i="1" s="1"/>
  <c r="T28" i="1"/>
  <c r="AC28" i="1" s="1"/>
  <c r="T29" i="1"/>
  <c r="AC29" i="1" s="1"/>
  <c r="T30" i="1"/>
  <c r="AC30" i="1" s="1"/>
  <c r="T31" i="1"/>
  <c r="AC31" i="1" s="1"/>
  <c r="T32" i="1"/>
  <c r="AC32" i="1" s="1"/>
  <c r="T33" i="1"/>
  <c r="AC33" i="1" s="1"/>
  <c r="T34" i="1"/>
  <c r="AC34" i="1" s="1"/>
  <c r="T35" i="1"/>
  <c r="AC35" i="1" s="1"/>
  <c r="T36" i="1"/>
  <c r="AC36" i="1" s="1"/>
  <c r="T37" i="1"/>
  <c r="AC37" i="1" s="1"/>
  <c r="T38" i="1"/>
  <c r="AC38" i="1" s="1"/>
  <c r="T39" i="1"/>
  <c r="AC39" i="1" s="1"/>
  <c r="T40" i="1"/>
  <c r="AC40" i="1" s="1"/>
  <c r="T41" i="1"/>
  <c r="AC41" i="1" s="1"/>
  <c r="T42" i="1"/>
  <c r="AC42" i="1" s="1"/>
  <c r="T43" i="1"/>
  <c r="AC43" i="1" s="1"/>
  <c r="T44" i="1"/>
  <c r="AC44" i="1" s="1"/>
  <c r="T45" i="1"/>
  <c r="AC45" i="1" s="1"/>
  <c r="T46" i="1"/>
  <c r="AC46" i="1" s="1"/>
  <c r="T47" i="1"/>
  <c r="AC47" i="1" s="1"/>
  <c r="T48" i="1"/>
  <c r="AC48" i="1" s="1"/>
  <c r="T49" i="1"/>
  <c r="AC49" i="1" s="1"/>
  <c r="T50" i="1"/>
  <c r="AC50" i="1" s="1"/>
  <c r="T51" i="1"/>
  <c r="AC51" i="1" s="1"/>
  <c r="T52" i="1"/>
  <c r="AC52" i="1" s="1"/>
  <c r="T53" i="1"/>
  <c r="AC53" i="1" s="1"/>
  <c r="T54" i="1"/>
  <c r="AC54" i="1" s="1"/>
  <c r="T55" i="1"/>
  <c r="AC55" i="1" s="1"/>
  <c r="T56" i="1"/>
  <c r="AC56" i="1" s="1"/>
  <c r="T57" i="1"/>
  <c r="AC57" i="1" s="1"/>
  <c r="T58" i="1"/>
  <c r="AC58" i="1" s="1"/>
  <c r="T59" i="1"/>
  <c r="AC59" i="1" s="1"/>
  <c r="T60" i="1"/>
  <c r="AC60" i="1" s="1"/>
  <c r="T61" i="1"/>
  <c r="AC61" i="1" s="1"/>
  <c r="T62" i="1"/>
  <c r="AC62" i="1" s="1"/>
  <c r="T63" i="1"/>
  <c r="AC63" i="1" s="1"/>
  <c r="T64" i="1"/>
  <c r="AC64" i="1" s="1"/>
  <c r="T65" i="1"/>
  <c r="AC65" i="1" s="1"/>
  <c r="T66" i="1"/>
  <c r="AC66" i="1" s="1"/>
  <c r="T67" i="1"/>
  <c r="AC67" i="1" s="1"/>
  <c r="T68" i="1"/>
  <c r="AC68" i="1" s="1"/>
  <c r="T69" i="1"/>
  <c r="AC69" i="1" s="1"/>
  <c r="T70" i="1"/>
  <c r="AC70" i="1" s="1"/>
  <c r="T71" i="1"/>
  <c r="AC71" i="1" s="1"/>
  <c r="T72" i="1"/>
  <c r="AC72" i="1" s="1"/>
  <c r="T73" i="1"/>
  <c r="AC73" i="1" s="1"/>
  <c r="T74" i="1"/>
  <c r="AC74" i="1" s="1"/>
  <c r="T75" i="1"/>
  <c r="AC75" i="1" s="1"/>
  <c r="T76" i="1"/>
  <c r="AC76" i="1" s="1"/>
  <c r="T77" i="1"/>
  <c r="AC77" i="1" s="1"/>
  <c r="T78" i="1"/>
  <c r="AC78" i="1" s="1"/>
  <c r="T79" i="1"/>
  <c r="AC79" i="1" s="1"/>
  <c r="T80" i="1"/>
  <c r="AC80" i="1" s="1"/>
  <c r="T81" i="1"/>
  <c r="AC81" i="1" s="1"/>
  <c r="T82" i="1"/>
  <c r="AC82" i="1" s="1"/>
  <c r="T83" i="1"/>
  <c r="AC83" i="1" s="1"/>
  <c r="T84" i="1"/>
  <c r="AC84" i="1" s="1"/>
  <c r="T85" i="1"/>
  <c r="AC85" i="1" s="1"/>
  <c r="T86" i="1"/>
  <c r="AC86" i="1" s="1"/>
  <c r="T87" i="1"/>
  <c r="AC87" i="1" s="1"/>
  <c r="T88" i="1"/>
  <c r="AC88" i="1" s="1"/>
  <c r="T89" i="1"/>
  <c r="AC89" i="1" s="1"/>
  <c r="T90" i="1"/>
  <c r="AC90" i="1" s="1"/>
  <c r="T91" i="1"/>
  <c r="AC91" i="1" s="1"/>
  <c r="T92" i="1"/>
  <c r="AC92" i="1" s="1"/>
  <c r="T93" i="1"/>
  <c r="AC93" i="1" s="1"/>
  <c r="T94" i="1"/>
  <c r="AC94" i="1" s="1"/>
  <c r="T95" i="1"/>
  <c r="AC95" i="1" s="1"/>
  <c r="T96" i="1"/>
  <c r="AC96" i="1" s="1"/>
  <c r="T97" i="1"/>
  <c r="AC97" i="1" s="1"/>
  <c r="T98" i="1"/>
  <c r="AC98" i="1" s="1"/>
  <c r="T99" i="1"/>
  <c r="AC99" i="1" s="1"/>
  <c r="T100" i="1"/>
  <c r="AC100" i="1" s="1"/>
  <c r="T101" i="1"/>
  <c r="AC101" i="1" s="1"/>
  <c r="T102" i="1"/>
  <c r="AC102" i="1" s="1"/>
  <c r="T103" i="1"/>
  <c r="AC103" i="1" s="1"/>
  <c r="T104" i="1"/>
  <c r="AC104" i="1" s="1"/>
  <c r="T105" i="1"/>
  <c r="AC105" i="1" s="1"/>
  <c r="T106" i="1"/>
  <c r="AC106" i="1" s="1"/>
  <c r="T107" i="1"/>
  <c r="AC107" i="1" s="1"/>
  <c r="T108" i="1"/>
  <c r="AC108" i="1" s="1"/>
  <c r="T109" i="1"/>
  <c r="AC109" i="1" s="1"/>
  <c r="T110" i="1"/>
  <c r="AC110" i="1" s="1"/>
  <c r="T111" i="1"/>
  <c r="AC111" i="1" s="1"/>
  <c r="T112" i="1"/>
  <c r="AC112" i="1" s="1"/>
  <c r="T113" i="1"/>
  <c r="AC113" i="1" s="1"/>
  <c r="D86" i="2"/>
  <c r="D87" i="2"/>
  <c r="D88" i="2"/>
  <c r="D89" i="2"/>
  <c r="D90" i="2"/>
  <c r="D91" i="2"/>
  <c r="H190" i="2"/>
  <c r="D116" i="2"/>
  <c r="D117" i="2"/>
  <c r="D80" i="2"/>
  <c r="F52" i="2"/>
  <c r="D52" i="2"/>
  <c r="R8" i="1"/>
  <c r="X8" i="1" s="1"/>
  <c r="Q12" i="1"/>
  <c r="Q9" i="1"/>
  <c r="Q10" i="1"/>
  <c r="R9" i="1"/>
  <c r="X9" i="1" s="1"/>
  <c r="V9" i="1"/>
  <c r="R10" i="1"/>
  <c r="X10" i="1" s="1"/>
  <c r="V10" i="1"/>
  <c r="R12" i="1"/>
  <c r="X12" i="1" s="1"/>
  <c r="V12" i="1"/>
  <c r="Q13" i="1"/>
  <c r="R13" i="1"/>
  <c r="X13" i="1" s="1"/>
  <c r="V13" i="1"/>
  <c r="Q14" i="1"/>
  <c r="R14" i="1"/>
  <c r="X14" i="1" s="1"/>
  <c r="V14" i="1"/>
  <c r="Q15" i="1"/>
  <c r="R15" i="1"/>
  <c r="X15" i="1" s="1"/>
  <c r="V15" i="1"/>
  <c r="Q16" i="1"/>
  <c r="R16" i="1"/>
  <c r="X16" i="1" s="1"/>
  <c r="V16" i="1"/>
  <c r="Q17" i="1"/>
  <c r="R17" i="1"/>
  <c r="X17" i="1" s="1"/>
  <c r="V17" i="1"/>
  <c r="Q18" i="1"/>
  <c r="R18" i="1"/>
  <c r="X18" i="1" s="1"/>
  <c r="V18" i="1"/>
  <c r="Q19" i="1"/>
  <c r="R19" i="1"/>
  <c r="X19" i="1" s="1"/>
  <c r="V19" i="1"/>
  <c r="Q20" i="1"/>
  <c r="R20" i="1"/>
  <c r="X20" i="1" s="1"/>
  <c r="V20" i="1"/>
  <c r="Q21" i="1"/>
  <c r="R21" i="1"/>
  <c r="X21" i="1" s="1"/>
  <c r="V21" i="1"/>
  <c r="Q22" i="1"/>
  <c r="R22" i="1"/>
  <c r="X22" i="1" s="1"/>
  <c r="V22" i="1"/>
  <c r="Q23" i="1"/>
  <c r="R23" i="1"/>
  <c r="X23" i="1" s="1"/>
  <c r="V23" i="1"/>
  <c r="Q24" i="1"/>
  <c r="R24" i="1"/>
  <c r="X24" i="1" s="1"/>
  <c r="V24" i="1"/>
  <c r="Q25" i="1"/>
  <c r="R25" i="1"/>
  <c r="X25" i="1" s="1"/>
  <c r="V25" i="1"/>
  <c r="Q26" i="1"/>
  <c r="R26" i="1"/>
  <c r="X26" i="1" s="1"/>
  <c r="V26" i="1"/>
  <c r="Q27" i="1"/>
  <c r="R27" i="1"/>
  <c r="X27" i="1" s="1"/>
  <c r="V27" i="1"/>
  <c r="Q28" i="1"/>
  <c r="R28" i="1"/>
  <c r="X28" i="1" s="1"/>
  <c r="V28" i="1"/>
  <c r="Q29" i="1"/>
  <c r="R29" i="1"/>
  <c r="X29" i="1" s="1"/>
  <c r="V29" i="1"/>
  <c r="Q30" i="1"/>
  <c r="R30" i="1"/>
  <c r="X30" i="1" s="1"/>
  <c r="V30" i="1"/>
  <c r="Q31" i="1"/>
  <c r="R31" i="1"/>
  <c r="X31" i="1" s="1"/>
  <c r="V31" i="1"/>
  <c r="Q32" i="1"/>
  <c r="R32" i="1"/>
  <c r="X32" i="1" s="1"/>
  <c r="V32" i="1"/>
  <c r="Q33" i="1"/>
  <c r="R33" i="1"/>
  <c r="X33" i="1" s="1"/>
  <c r="V33" i="1"/>
  <c r="Q34" i="1"/>
  <c r="R34" i="1"/>
  <c r="X34" i="1" s="1"/>
  <c r="V34" i="1"/>
  <c r="Q35" i="1"/>
  <c r="R35" i="1"/>
  <c r="X35" i="1" s="1"/>
  <c r="V35" i="1"/>
  <c r="Q36" i="1"/>
  <c r="R36" i="1"/>
  <c r="X36" i="1" s="1"/>
  <c r="V36" i="1"/>
  <c r="Q37" i="1"/>
  <c r="R37" i="1"/>
  <c r="X37" i="1" s="1"/>
  <c r="V37" i="1"/>
  <c r="Q38" i="1"/>
  <c r="R38" i="1"/>
  <c r="X38" i="1" s="1"/>
  <c r="V38" i="1"/>
  <c r="Q39" i="1"/>
  <c r="R39" i="1"/>
  <c r="X39" i="1" s="1"/>
  <c r="V39" i="1"/>
  <c r="Q40" i="1"/>
  <c r="R40" i="1"/>
  <c r="X40" i="1" s="1"/>
  <c r="V40" i="1"/>
  <c r="Q41" i="1"/>
  <c r="R41" i="1"/>
  <c r="X41" i="1" s="1"/>
  <c r="V41" i="1"/>
  <c r="Q42" i="1"/>
  <c r="R42" i="1"/>
  <c r="X42" i="1" s="1"/>
  <c r="V42" i="1"/>
  <c r="Q43" i="1"/>
  <c r="R43" i="1"/>
  <c r="X43" i="1" s="1"/>
  <c r="V43" i="1"/>
  <c r="Q44" i="1"/>
  <c r="R44" i="1"/>
  <c r="X44" i="1" s="1"/>
  <c r="V44" i="1"/>
  <c r="Q45" i="1"/>
  <c r="R45" i="1"/>
  <c r="X45" i="1" s="1"/>
  <c r="V45" i="1"/>
  <c r="Q46" i="1"/>
  <c r="R46" i="1"/>
  <c r="X46" i="1" s="1"/>
  <c r="V46" i="1"/>
  <c r="Q47" i="1"/>
  <c r="R47" i="1"/>
  <c r="X47" i="1" s="1"/>
  <c r="V47" i="1"/>
  <c r="Q48" i="1"/>
  <c r="R48" i="1"/>
  <c r="X48" i="1" s="1"/>
  <c r="V48" i="1"/>
  <c r="Q49" i="1"/>
  <c r="R49" i="1"/>
  <c r="X49" i="1" s="1"/>
  <c r="V49" i="1"/>
  <c r="Q50" i="1"/>
  <c r="R50" i="1"/>
  <c r="X50" i="1" s="1"/>
  <c r="V50" i="1"/>
  <c r="Q51" i="1"/>
  <c r="R51" i="1"/>
  <c r="X51" i="1" s="1"/>
  <c r="V51" i="1"/>
  <c r="Q52" i="1"/>
  <c r="R52" i="1"/>
  <c r="X52" i="1" s="1"/>
  <c r="V52" i="1"/>
  <c r="Q53" i="1"/>
  <c r="R53" i="1"/>
  <c r="X53" i="1" s="1"/>
  <c r="V53" i="1"/>
  <c r="Q54" i="1"/>
  <c r="R54" i="1"/>
  <c r="X54" i="1" s="1"/>
  <c r="V54" i="1"/>
  <c r="Q55" i="1"/>
  <c r="R55" i="1"/>
  <c r="X55" i="1" s="1"/>
  <c r="V55" i="1"/>
  <c r="Q56" i="1"/>
  <c r="R56" i="1"/>
  <c r="X56" i="1" s="1"/>
  <c r="V56" i="1"/>
  <c r="Q57" i="1"/>
  <c r="R57" i="1"/>
  <c r="X57" i="1" s="1"/>
  <c r="V57" i="1"/>
  <c r="Q58" i="1"/>
  <c r="R58" i="1"/>
  <c r="X58" i="1" s="1"/>
  <c r="V58" i="1"/>
  <c r="Q59" i="1"/>
  <c r="R59" i="1"/>
  <c r="X59" i="1" s="1"/>
  <c r="V59" i="1"/>
  <c r="Q60" i="1"/>
  <c r="R60" i="1"/>
  <c r="X60" i="1" s="1"/>
  <c r="V60" i="1"/>
  <c r="Q61" i="1"/>
  <c r="R61" i="1"/>
  <c r="X61" i="1" s="1"/>
  <c r="V61" i="1"/>
  <c r="Q62" i="1"/>
  <c r="R62" i="1"/>
  <c r="X62" i="1" s="1"/>
  <c r="V62" i="1"/>
  <c r="Q63" i="1"/>
  <c r="R63" i="1"/>
  <c r="X63" i="1" s="1"/>
  <c r="V63" i="1"/>
  <c r="Q64" i="1"/>
  <c r="R64" i="1"/>
  <c r="X64" i="1" s="1"/>
  <c r="V64" i="1"/>
  <c r="Q65" i="1"/>
  <c r="R65" i="1"/>
  <c r="X65" i="1" s="1"/>
  <c r="V65" i="1"/>
  <c r="Q66" i="1"/>
  <c r="R66" i="1"/>
  <c r="X66" i="1" s="1"/>
  <c r="V66" i="1"/>
  <c r="Q67" i="1"/>
  <c r="R67" i="1"/>
  <c r="X67" i="1" s="1"/>
  <c r="V67" i="1"/>
  <c r="Q68" i="1"/>
  <c r="R68" i="1"/>
  <c r="X68" i="1" s="1"/>
  <c r="V68" i="1"/>
  <c r="Q69" i="1"/>
  <c r="R69" i="1"/>
  <c r="X69" i="1" s="1"/>
  <c r="V69" i="1"/>
  <c r="Q70" i="1"/>
  <c r="R70" i="1"/>
  <c r="X70" i="1" s="1"/>
  <c r="V70" i="1"/>
  <c r="Q71" i="1"/>
  <c r="R71" i="1"/>
  <c r="X71" i="1" s="1"/>
  <c r="V71" i="1"/>
  <c r="Q72" i="1"/>
  <c r="R72" i="1"/>
  <c r="X72" i="1" s="1"/>
  <c r="V72" i="1"/>
  <c r="Q73" i="1"/>
  <c r="R73" i="1"/>
  <c r="X73" i="1" s="1"/>
  <c r="V73" i="1"/>
  <c r="Q74" i="1"/>
  <c r="R74" i="1"/>
  <c r="X74" i="1" s="1"/>
  <c r="V74" i="1"/>
  <c r="Q75" i="1"/>
  <c r="R75" i="1"/>
  <c r="X75" i="1" s="1"/>
  <c r="V75" i="1"/>
  <c r="Q76" i="1"/>
  <c r="R76" i="1"/>
  <c r="X76" i="1" s="1"/>
  <c r="V76" i="1"/>
  <c r="Q77" i="1"/>
  <c r="R77" i="1"/>
  <c r="X77" i="1" s="1"/>
  <c r="V77" i="1"/>
  <c r="Q78" i="1"/>
  <c r="R78" i="1"/>
  <c r="X78" i="1" s="1"/>
  <c r="V78" i="1"/>
  <c r="Q79" i="1"/>
  <c r="R79" i="1"/>
  <c r="X79" i="1" s="1"/>
  <c r="V79" i="1"/>
  <c r="Q80" i="1"/>
  <c r="R80" i="1"/>
  <c r="X80" i="1" s="1"/>
  <c r="V80" i="1"/>
  <c r="Q81" i="1"/>
  <c r="R81" i="1"/>
  <c r="X81" i="1" s="1"/>
  <c r="V81" i="1"/>
  <c r="Q82" i="1"/>
  <c r="R82" i="1"/>
  <c r="X82" i="1" s="1"/>
  <c r="V82" i="1"/>
  <c r="Q83" i="1"/>
  <c r="R83" i="1"/>
  <c r="X83" i="1" s="1"/>
  <c r="V83" i="1"/>
  <c r="Q84" i="1"/>
  <c r="R84" i="1"/>
  <c r="X84" i="1" s="1"/>
  <c r="V84" i="1"/>
  <c r="Q85" i="1"/>
  <c r="R85" i="1"/>
  <c r="X85" i="1" s="1"/>
  <c r="V85" i="1"/>
  <c r="Q86" i="1"/>
  <c r="R86" i="1"/>
  <c r="X86" i="1" s="1"/>
  <c r="V86" i="1"/>
  <c r="Q87" i="1"/>
  <c r="R87" i="1"/>
  <c r="X87" i="1" s="1"/>
  <c r="V87" i="1"/>
  <c r="Q88" i="1"/>
  <c r="R88" i="1"/>
  <c r="X88" i="1" s="1"/>
  <c r="V88" i="1"/>
  <c r="Q89" i="1"/>
  <c r="R89" i="1"/>
  <c r="X89" i="1" s="1"/>
  <c r="V89" i="1"/>
  <c r="Q90" i="1"/>
  <c r="R90" i="1"/>
  <c r="X90" i="1" s="1"/>
  <c r="V90" i="1"/>
  <c r="Q91" i="1"/>
  <c r="R91" i="1"/>
  <c r="X91" i="1" s="1"/>
  <c r="V91" i="1"/>
  <c r="Q92" i="1"/>
  <c r="R92" i="1"/>
  <c r="X92" i="1" s="1"/>
  <c r="V92" i="1"/>
  <c r="Q93" i="1"/>
  <c r="R93" i="1"/>
  <c r="X93" i="1" s="1"/>
  <c r="V93" i="1"/>
  <c r="Q94" i="1"/>
  <c r="R94" i="1"/>
  <c r="X94" i="1" s="1"/>
  <c r="V94" i="1"/>
  <c r="Q95" i="1"/>
  <c r="R95" i="1"/>
  <c r="X95" i="1" s="1"/>
  <c r="V95" i="1"/>
  <c r="Q96" i="1"/>
  <c r="R96" i="1"/>
  <c r="X96" i="1" s="1"/>
  <c r="V96" i="1"/>
  <c r="Q97" i="1"/>
  <c r="R97" i="1"/>
  <c r="X97" i="1" s="1"/>
  <c r="V97" i="1"/>
  <c r="Q98" i="1"/>
  <c r="R98" i="1"/>
  <c r="X98" i="1" s="1"/>
  <c r="V98" i="1"/>
  <c r="Q99" i="1"/>
  <c r="R99" i="1"/>
  <c r="X99" i="1" s="1"/>
  <c r="V99" i="1"/>
  <c r="Q100" i="1"/>
  <c r="R100" i="1"/>
  <c r="X100" i="1" s="1"/>
  <c r="V100" i="1"/>
  <c r="Q101" i="1"/>
  <c r="R101" i="1"/>
  <c r="X101" i="1" s="1"/>
  <c r="V101" i="1"/>
  <c r="Q102" i="1"/>
  <c r="R102" i="1"/>
  <c r="X102" i="1" s="1"/>
  <c r="V102" i="1"/>
  <c r="Q103" i="1"/>
  <c r="R103" i="1"/>
  <c r="X103" i="1" s="1"/>
  <c r="V103" i="1"/>
  <c r="Q104" i="1"/>
  <c r="R104" i="1"/>
  <c r="X104" i="1" s="1"/>
  <c r="V104" i="1"/>
  <c r="Q105" i="1"/>
  <c r="R105" i="1"/>
  <c r="X105" i="1" s="1"/>
  <c r="V105" i="1"/>
  <c r="Q106" i="1"/>
  <c r="R106" i="1"/>
  <c r="X106" i="1" s="1"/>
  <c r="V106" i="1"/>
  <c r="Q107" i="1"/>
  <c r="R107" i="1"/>
  <c r="X107" i="1" s="1"/>
  <c r="V107" i="1"/>
  <c r="Q108" i="1"/>
  <c r="R108" i="1"/>
  <c r="X108" i="1" s="1"/>
  <c r="V108" i="1"/>
  <c r="Q109" i="1"/>
  <c r="R109" i="1"/>
  <c r="X109" i="1" s="1"/>
  <c r="V109" i="1"/>
  <c r="Q110" i="1"/>
  <c r="R110" i="1"/>
  <c r="X110" i="1" s="1"/>
  <c r="V110" i="1"/>
  <c r="Q111" i="1"/>
  <c r="R111" i="1"/>
  <c r="X111" i="1" s="1"/>
  <c r="V111" i="1"/>
  <c r="Q112" i="1"/>
  <c r="R112" i="1"/>
  <c r="X112" i="1" s="1"/>
  <c r="V112" i="1"/>
  <c r="R113" i="1"/>
  <c r="X113" i="1" s="1"/>
  <c r="V113" i="1"/>
  <c r="D140" i="2"/>
  <c r="D139" i="2"/>
  <c r="D138" i="2"/>
  <c r="D114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15" i="2"/>
  <c r="D112" i="2"/>
  <c r="D111" i="2"/>
  <c r="D83" i="2"/>
  <c r="D81" i="2"/>
  <c r="D79" i="2"/>
  <c r="D92" i="2"/>
  <c r="D93" i="2"/>
  <c r="D94" i="2"/>
  <c r="D95" i="2"/>
  <c r="D96" i="2"/>
  <c r="D97" i="2"/>
  <c r="D98" i="2"/>
  <c r="D99" i="2"/>
  <c r="D100" i="2"/>
  <c r="D101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54" i="2"/>
  <c r="D54" i="2"/>
  <c r="D55" i="2"/>
  <c r="D56" i="2"/>
  <c r="D57" i="2"/>
  <c r="D58" i="2"/>
  <c r="D59" i="2"/>
  <c r="D61" i="2"/>
  <c r="D62" i="2"/>
  <c r="D63" i="2"/>
  <c r="D64" i="2"/>
  <c r="D65" i="2"/>
  <c r="D66" i="2"/>
  <c r="D67" i="2"/>
  <c r="D68" i="2"/>
  <c r="D69" i="2"/>
  <c r="AF11" i="1" l="1"/>
  <c r="AF19" i="1"/>
  <c r="AF27" i="1"/>
  <c r="AF35" i="1"/>
  <c r="AF43" i="1"/>
  <c r="AF51" i="1"/>
  <c r="AF59" i="1"/>
  <c r="AF67" i="1"/>
  <c r="AF75" i="1"/>
  <c r="AF83" i="1"/>
  <c r="AF91" i="1"/>
  <c r="AF99" i="1"/>
  <c r="AF107" i="1"/>
  <c r="AF115" i="1"/>
  <c r="AF123" i="1"/>
  <c r="AF131" i="1"/>
  <c r="AF139" i="1"/>
  <c r="AF147" i="1"/>
  <c r="AF155" i="1"/>
  <c r="AF163" i="1"/>
  <c r="AF171" i="1"/>
  <c r="AF179" i="1"/>
  <c r="AF187" i="1"/>
  <c r="AF195" i="1"/>
  <c r="AF203" i="1"/>
  <c r="AF172" i="1"/>
  <c r="AF180" i="1"/>
  <c r="AF188" i="1"/>
  <c r="AF204" i="1"/>
  <c r="AF118" i="1"/>
  <c r="AF134" i="1"/>
  <c r="AF206" i="1"/>
  <c r="AF23" i="1"/>
  <c r="AF39" i="1"/>
  <c r="AF55" i="1"/>
  <c r="AF71" i="1"/>
  <c r="AF87" i="1"/>
  <c r="AF151" i="1"/>
  <c r="AF167" i="1"/>
  <c r="AF183" i="1"/>
  <c r="AF199" i="1"/>
  <c r="AF16" i="1"/>
  <c r="AF32" i="1"/>
  <c r="AF48" i="1"/>
  <c r="AF64" i="1"/>
  <c r="AF80" i="1"/>
  <c r="AF88" i="1"/>
  <c r="AF104" i="1"/>
  <c r="AF120" i="1"/>
  <c r="AF144" i="1"/>
  <c r="AF160" i="1"/>
  <c r="AF176" i="1"/>
  <c r="AF49" i="1"/>
  <c r="AF65" i="1"/>
  <c r="AF81" i="1"/>
  <c r="AF105" i="1"/>
  <c r="AF121" i="1"/>
  <c r="AF137" i="1"/>
  <c r="AF201" i="1"/>
  <c r="AF34" i="1"/>
  <c r="AF50" i="1"/>
  <c r="AF114" i="1"/>
  <c r="AF130" i="1"/>
  <c r="AF146" i="1"/>
  <c r="AF162" i="1"/>
  <c r="AF12" i="1"/>
  <c r="AF20" i="1"/>
  <c r="AF28" i="1"/>
  <c r="AF36" i="1"/>
  <c r="AF44" i="1"/>
  <c r="AF52" i="1"/>
  <c r="AF60" i="1"/>
  <c r="AF68" i="1"/>
  <c r="AF76" i="1"/>
  <c r="AF84" i="1"/>
  <c r="AF92" i="1"/>
  <c r="AF100" i="1"/>
  <c r="AF108" i="1"/>
  <c r="AF116" i="1"/>
  <c r="AF124" i="1"/>
  <c r="AF132" i="1"/>
  <c r="AF140" i="1"/>
  <c r="AF148" i="1"/>
  <c r="AF156" i="1"/>
  <c r="AF164" i="1"/>
  <c r="AF196" i="1"/>
  <c r="AF110" i="1"/>
  <c r="AF126" i="1"/>
  <c r="AF142" i="1"/>
  <c r="AF158" i="1"/>
  <c r="AF174" i="1"/>
  <c r="AF190" i="1"/>
  <c r="AF63" i="1"/>
  <c r="AF79" i="1"/>
  <c r="AF95" i="1"/>
  <c r="AF103" i="1"/>
  <c r="AF119" i="1"/>
  <c r="AF135" i="1"/>
  <c r="AF159" i="1"/>
  <c r="AF175" i="1"/>
  <c r="AF191" i="1"/>
  <c r="AF207" i="1"/>
  <c r="AF24" i="1"/>
  <c r="AF40" i="1"/>
  <c r="AF56" i="1"/>
  <c r="AF72" i="1"/>
  <c r="AF96" i="1"/>
  <c r="AF112" i="1"/>
  <c r="AF128" i="1"/>
  <c r="AF136" i="1"/>
  <c r="AF192" i="1"/>
  <c r="AF17" i="1"/>
  <c r="AF33" i="1"/>
  <c r="AF97" i="1"/>
  <c r="AF113" i="1"/>
  <c r="AF129" i="1"/>
  <c r="AF145" i="1"/>
  <c r="AF161" i="1"/>
  <c r="AF177" i="1"/>
  <c r="AF193" i="1"/>
  <c r="AF18" i="1"/>
  <c r="AF26" i="1"/>
  <c r="AF42" i="1"/>
  <c r="AF58" i="1"/>
  <c r="AF74" i="1"/>
  <c r="AF90" i="1"/>
  <c r="AF106" i="1"/>
  <c r="AF122" i="1"/>
  <c r="AF138" i="1"/>
  <c r="AF154" i="1"/>
  <c r="AF170" i="1"/>
  <c r="AF186" i="1"/>
  <c r="AF202" i="1"/>
  <c r="AF13" i="1"/>
  <c r="AF21" i="1"/>
  <c r="AF29" i="1"/>
  <c r="AF37" i="1"/>
  <c r="AF45" i="1"/>
  <c r="AF53" i="1"/>
  <c r="AF61" i="1"/>
  <c r="AF69" i="1"/>
  <c r="AF77" i="1"/>
  <c r="AF85" i="1"/>
  <c r="AF93" i="1"/>
  <c r="AF101" i="1"/>
  <c r="AF109" i="1"/>
  <c r="AF117" i="1"/>
  <c r="AF125" i="1"/>
  <c r="AF133" i="1"/>
  <c r="AF141" i="1"/>
  <c r="AF149" i="1"/>
  <c r="AF157" i="1"/>
  <c r="AF165" i="1"/>
  <c r="AF173" i="1"/>
  <c r="AF181" i="1"/>
  <c r="AF189" i="1"/>
  <c r="AF197" i="1"/>
  <c r="AF205" i="1"/>
  <c r="AF14" i="1"/>
  <c r="AF22" i="1"/>
  <c r="AF30" i="1"/>
  <c r="AF38" i="1"/>
  <c r="AF46" i="1"/>
  <c r="AF54" i="1"/>
  <c r="AF62" i="1"/>
  <c r="AF70" i="1"/>
  <c r="AF78" i="1"/>
  <c r="AF86" i="1"/>
  <c r="AF94" i="1"/>
  <c r="AF102" i="1"/>
  <c r="AF150" i="1"/>
  <c r="AF166" i="1"/>
  <c r="AF182" i="1"/>
  <c r="AF198" i="1"/>
  <c r="AF15" i="1"/>
  <c r="AF31" i="1"/>
  <c r="AF47" i="1"/>
  <c r="AF111" i="1"/>
  <c r="AF127" i="1"/>
  <c r="AF143" i="1"/>
  <c r="AF152" i="1"/>
  <c r="AF168" i="1"/>
  <c r="AF184" i="1"/>
  <c r="AF200" i="1"/>
  <c r="AF25" i="1"/>
  <c r="AF41" i="1"/>
  <c r="AF57" i="1"/>
  <c r="AF73" i="1"/>
  <c r="AF89" i="1"/>
  <c r="AF153" i="1"/>
  <c r="AF169" i="1"/>
  <c r="AF185" i="1"/>
  <c r="AF66" i="1"/>
  <c r="AF82" i="1"/>
  <c r="AF98" i="1"/>
  <c r="AF178" i="1"/>
  <c r="AF194" i="1"/>
  <c r="AH11" i="1"/>
  <c r="AI11" i="1" s="1"/>
  <c r="AH21" i="1"/>
  <c r="AI21" i="1" s="1"/>
  <c r="AH29" i="1"/>
  <c r="AI29" i="1" s="1"/>
  <c r="AH37" i="1"/>
  <c r="AI37" i="1" s="1"/>
  <c r="AH45" i="1"/>
  <c r="AI45" i="1" s="1"/>
  <c r="AH53" i="1"/>
  <c r="AI53" i="1" s="1"/>
  <c r="AH61" i="1"/>
  <c r="AI61" i="1" s="1"/>
  <c r="AH69" i="1"/>
  <c r="AI69" i="1" s="1"/>
  <c r="AH77" i="1"/>
  <c r="AI77" i="1" s="1"/>
  <c r="AH85" i="1"/>
  <c r="AI85" i="1" s="1"/>
  <c r="AH93" i="1"/>
  <c r="AI93" i="1" s="1"/>
  <c r="AH101" i="1"/>
  <c r="AI101" i="1" s="1"/>
  <c r="AH109" i="1"/>
  <c r="AI109" i="1" s="1"/>
  <c r="AH117" i="1"/>
  <c r="AI117" i="1" s="1"/>
  <c r="AH125" i="1"/>
  <c r="AI125" i="1" s="1"/>
  <c r="AH133" i="1"/>
  <c r="AI133" i="1" s="1"/>
  <c r="AH141" i="1"/>
  <c r="AI141" i="1" s="1"/>
  <c r="AH149" i="1"/>
  <c r="AI149" i="1" s="1"/>
  <c r="AH157" i="1"/>
  <c r="AI157" i="1" s="1"/>
  <c r="AH165" i="1"/>
  <c r="AI165" i="1" s="1"/>
  <c r="AH173" i="1"/>
  <c r="AI173" i="1" s="1"/>
  <c r="AH181" i="1"/>
  <c r="AI181" i="1" s="1"/>
  <c r="AH189" i="1"/>
  <c r="AI189" i="1" s="1"/>
  <c r="AH197" i="1"/>
  <c r="AI197" i="1" s="1"/>
  <c r="AH205" i="1"/>
  <c r="AI205" i="1" s="1"/>
  <c r="AH105" i="1"/>
  <c r="AI105" i="1" s="1"/>
  <c r="AH121" i="1"/>
  <c r="AI121" i="1" s="1"/>
  <c r="AH177" i="1"/>
  <c r="AI177" i="1" s="1"/>
  <c r="AH193" i="1"/>
  <c r="AI193" i="1" s="1"/>
  <c r="AH201" i="1"/>
  <c r="AI201" i="1" s="1"/>
  <c r="AH42" i="1"/>
  <c r="AI42" i="1" s="1"/>
  <c r="AH50" i="1"/>
  <c r="AI50" i="1" s="1"/>
  <c r="AH66" i="1"/>
  <c r="AI66" i="1" s="1"/>
  <c r="AH82" i="1"/>
  <c r="AI82" i="1" s="1"/>
  <c r="AH98" i="1"/>
  <c r="AI98" i="1" s="1"/>
  <c r="AH106" i="1"/>
  <c r="AI106" i="1" s="1"/>
  <c r="AH122" i="1"/>
  <c r="AI122" i="1" s="1"/>
  <c r="AH138" i="1"/>
  <c r="AI138" i="1" s="1"/>
  <c r="AH154" i="1"/>
  <c r="AI154" i="1" s="1"/>
  <c r="AH170" i="1"/>
  <c r="AI170" i="1" s="1"/>
  <c r="AH186" i="1"/>
  <c r="AI186" i="1" s="1"/>
  <c r="AH202" i="1"/>
  <c r="AI202" i="1" s="1"/>
  <c r="AH27" i="1"/>
  <c r="AI27" i="1" s="1"/>
  <c r="AH43" i="1"/>
  <c r="AI43" i="1" s="1"/>
  <c r="AH59" i="1"/>
  <c r="AI59" i="1" s="1"/>
  <c r="AH75" i="1"/>
  <c r="AI75" i="1" s="1"/>
  <c r="AH91" i="1"/>
  <c r="AI91" i="1" s="1"/>
  <c r="AH107" i="1"/>
  <c r="AI107" i="1" s="1"/>
  <c r="AH123" i="1"/>
  <c r="AI123" i="1" s="1"/>
  <c r="AH139" i="1"/>
  <c r="AI139" i="1" s="1"/>
  <c r="AH155" i="1"/>
  <c r="AI155" i="1" s="1"/>
  <c r="AH171" i="1"/>
  <c r="AI171" i="1" s="1"/>
  <c r="AH187" i="1"/>
  <c r="AI187" i="1" s="1"/>
  <c r="AH203" i="1"/>
  <c r="AI203" i="1" s="1"/>
  <c r="AH36" i="1"/>
  <c r="AI36" i="1" s="1"/>
  <c r="AH52" i="1"/>
  <c r="AI52" i="1" s="1"/>
  <c r="AH68" i="1"/>
  <c r="AI68" i="1" s="1"/>
  <c r="AH84" i="1"/>
  <c r="AI84" i="1" s="1"/>
  <c r="AH100" i="1"/>
  <c r="AI100" i="1" s="1"/>
  <c r="AH116" i="1"/>
  <c r="AI116" i="1" s="1"/>
  <c r="AH12" i="1"/>
  <c r="AI12" i="1" s="1"/>
  <c r="AH22" i="1"/>
  <c r="AI22" i="1" s="1"/>
  <c r="AH30" i="1"/>
  <c r="AI30" i="1" s="1"/>
  <c r="AH38" i="1"/>
  <c r="AI38" i="1" s="1"/>
  <c r="AH46" i="1"/>
  <c r="AI46" i="1" s="1"/>
  <c r="AH54" i="1"/>
  <c r="AI54" i="1" s="1"/>
  <c r="AH62" i="1"/>
  <c r="AI62" i="1" s="1"/>
  <c r="AH70" i="1"/>
  <c r="AI70" i="1" s="1"/>
  <c r="AH78" i="1"/>
  <c r="AI78" i="1" s="1"/>
  <c r="AH86" i="1"/>
  <c r="AI86" i="1" s="1"/>
  <c r="AH94" i="1"/>
  <c r="AI94" i="1" s="1"/>
  <c r="AH102" i="1"/>
  <c r="AI102" i="1" s="1"/>
  <c r="AH110" i="1"/>
  <c r="AI110" i="1" s="1"/>
  <c r="AH118" i="1"/>
  <c r="AI118" i="1" s="1"/>
  <c r="AH126" i="1"/>
  <c r="AI126" i="1" s="1"/>
  <c r="AH134" i="1"/>
  <c r="AI134" i="1" s="1"/>
  <c r="AH142" i="1"/>
  <c r="AI142" i="1" s="1"/>
  <c r="AH150" i="1"/>
  <c r="AI150" i="1" s="1"/>
  <c r="AH158" i="1"/>
  <c r="AI158" i="1" s="1"/>
  <c r="AH166" i="1"/>
  <c r="AI166" i="1" s="1"/>
  <c r="AH174" i="1"/>
  <c r="AI174" i="1" s="1"/>
  <c r="AH182" i="1"/>
  <c r="AI182" i="1" s="1"/>
  <c r="AH190" i="1"/>
  <c r="AI190" i="1" s="1"/>
  <c r="AH198" i="1"/>
  <c r="AI198" i="1" s="1"/>
  <c r="AH206" i="1"/>
  <c r="AI206" i="1" s="1"/>
  <c r="AH16" i="1"/>
  <c r="AI16" i="1" s="1"/>
  <c r="AH32" i="1"/>
  <c r="AI32" i="1" s="1"/>
  <c r="AH48" i="1"/>
  <c r="AI48" i="1" s="1"/>
  <c r="AH64" i="1"/>
  <c r="AI64" i="1" s="1"/>
  <c r="AH72" i="1"/>
  <c r="AI72" i="1" s="1"/>
  <c r="AH80" i="1"/>
  <c r="AI80" i="1" s="1"/>
  <c r="AH88" i="1"/>
  <c r="AI88" i="1" s="1"/>
  <c r="AH96" i="1"/>
  <c r="AI96" i="1" s="1"/>
  <c r="AH104" i="1"/>
  <c r="AI104" i="1" s="1"/>
  <c r="AH112" i="1"/>
  <c r="AI112" i="1" s="1"/>
  <c r="AH120" i="1"/>
  <c r="AI120" i="1" s="1"/>
  <c r="AH192" i="1"/>
  <c r="AI192" i="1" s="1"/>
  <c r="AH200" i="1"/>
  <c r="AI200" i="1" s="1"/>
  <c r="AH18" i="1"/>
  <c r="AI18" i="1" s="1"/>
  <c r="AH34" i="1"/>
  <c r="AI34" i="1" s="1"/>
  <c r="AH58" i="1"/>
  <c r="AI58" i="1" s="1"/>
  <c r="AH74" i="1"/>
  <c r="AI74" i="1" s="1"/>
  <c r="AH90" i="1"/>
  <c r="AI90" i="1" s="1"/>
  <c r="AH114" i="1"/>
  <c r="AI114" i="1" s="1"/>
  <c r="AH130" i="1"/>
  <c r="AI130" i="1" s="1"/>
  <c r="AH19" i="1"/>
  <c r="AI19" i="1" s="1"/>
  <c r="AH147" i="1"/>
  <c r="AI147" i="1" s="1"/>
  <c r="AH163" i="1"/>
  <c r="AI163" i="1" s="1"/>
  <c r="AH179" i="1"/>
  <c r="AI179" i="1" s="1"/>
  <c r="AH195" i="1"/>
  <c r="AI195" i="1" s="1"/>
  <c r="AH20" i="1"/>
  <c r="AI20" i="1" s="1"/>
  <c r="AH44" i="1"/>
  <c r="AI44" i="1" s="1"/>
  <c r="AH60" i="1"/>
  <c r="AI60" i="1" s="1"/>
  <c r="AH76" i="1"/>
  <c r="AI76" i="1" s="1"/>
  <c r="AH92" i="1"/>
  <c r="AI92" i="1" s="1"/>
  <c r="AH108" i="1"/>
  <c r="AI108" i="1" s="1"/>
  <c r="AH124" i="1"/>
  <c r="AI124" i="1" s="1"/>
  <c r="AH132" i="1"/>
  <c r="AI132" i="1" s="1"/>
  <c r="AH148" i="1"/>
  <c r="AI148" i="1" s="1"/>
  <c r="AH164" i="1"/>
  <c r="AI164" i="1" s="1"/>
  <c r="AH188" i="1"/>
  <c r="AI188" i="1" s="1"/>
  <c r="AH204" i="1"/>
  <c r="AI204" i="1" s="1"/>
  <c r="AH15" i="1"/>
  <c r="AI15" i="1" s="1"/>
  <c r="AH23" i="1"/>
  <c r="AI23" i="1" s="1"/>
  <c r="AH31" i="1"/>
  <c r="AI31" i="1" s="1"/>
  <c r="AH39" i="1"/>
  <c r="AI39" i="1" s="1"/>
  <c r="AH47" i="1"/>
  <c r="AI47" i="1" s="1"/>
  <c r="AH55" i="1"/>
  <c r="AI55" i="1" s="1"/>
  <c r="AH63" i="1"/>
  <c r="AI63" i="1" s="1"/>
  <c r="AH71" i="1"/>
  <c r="AI71" i="1" s="1"/>
  <c r="AH79" i="1"/>
  <c r="AI79" i="1" s="1"/>
  <c r="AH87" i="1"/>
  <c r="AI87" i="1" s="1"/>
  <c r="AH95" i="1"/>
  <c r="AI95" i="1" s="1"/>
  <c r="AH103" i="1"/>
  <c r="AI103" i="1" s="1"/>
  <c r="AH111" i="1"/>
  <c r="AI111" i="1" s="1"/>
  <c r="AH119" i="1"/>
  <c r="AI119" i="1" s="1"/>
  <c r="AH127" i="1"/>
  <c r="AI127" i="1" s="1"/>
  <c r="AH135" i="1"/>
  <c r="AI135" i="1" s="1"/>
  <c r="AH143" i="1"/>
  <c r="AI143" i="1" s="1"/>
  <c r="AH151" i="1"/>
  <c r="AI151" i="1" s="1"/>
  <c r="AH159" i="1"/>
  <c r="AI159" i="1" s="1"/>
  <c r="AH167" i="1"/>
  <c r="AI167" i="1" s="1"/>
  <c r="AH175" i="1"/>
  <c r="AI175" i="1" s="1"/>
  <c r="AH183" i="1"/>
  <c r="AI183" i="1" s="1"/>
  <c r="AH191" i="1"/>
  <c r="AI191" i="1" s="1"/>
  <c r="AH199" i="1"/>
  <c r="AI199" i="1" s="1"/>
  <c r="AH207" i="1"/>
  <c r="AI207" i="1" s="1"/>
  <c r="AH24" i="1"/>
  <c r="AI24" i="1" s="1"/>
  <c r="AH40" i="1"/>
  <c r="AI40" i="1" s="1"/>
  <c r="AH56" i="1"/>
  <c r="AI56" i="1" s="1"/>
  <c r="AH128" i="1"/>
  <c r="AI128" i="1" s="1"/>
  <c r="AH136" i="1"/>
  <c r="AI136" i="1" s="1"/>
  <c r="AH144" i="1"/>
  <c r="AI144" i="1" s="1"/>
  <c r="AH152" i="1"/>
  <c r="AI152" i="1" s="1"/>
  <c r="AH160" i="1"/>
  <c r="AI160" i="1" s="1"/>
  <c r="AH168" i="1"/>
  <c r="AI168" i="1" s="1"/>
  <c r="AH176" i="1"/>
  <c r="AI176" i="1" s="1"/>
  <c r="AH184" i="1"/>
  <c r="AI184" i="1" s="1"/>
  <c r="AH17" i="1"/>
  <c r="AI17" i="1" s="1"/>
  <c r="AH25" i="1"/>
  <c r="AI25" i="1" s="1"/>
  <c r="AH33" i="1"/>
  <c r="AI33" i="1" s="1"/>
  <c r="AH41" i="1"/>
  <c r="AI41" i="1" s="1"/>
  <c r="AH49" i="1"/>
  <c r="AI49" i="1" s="1"/>
  <c r="AH57" i="1"/>
  <c r="AI57" i="1" s="1"/>
  <c r="AH65" i="1"/>
  <c r="AI65" i="1" s="1"/>
  <c r="AH73" i="1"/>
  <c r="AI73" i="1" s="1"/>
  <c r="AH81" i="1"/>
  <c r="AI81" i="1" s="1"/>
  <c r="AH89" i="1"/>
  <c r="AI89" i="1" s="1"/>
  <c r="AH97" i="1"/>
  <c r="AI97" i="1" s="1"/>
  <c r="AH113" i="1"/>
  <c r="AI113" i="1" s="1"/>
  <c r="AH129" i="1"/>
  <c r="AI129" i="1" s="1"/>
  <c r="AH137" i="1"/>
  <c r="AI137" i="1" s="1"/>
  <c r="AH145" i="1"/>
  <c r="AI145" i="1" s="1"/>
  <c r="AH153" i="1"/>
  <c r="AI153" i="1" s="1"/>
  <c r="AH161" i="1"/>
  <c r="AI161" i="1" s="1"/>
  <c r="AH169" i="1"/>
  <c r="AI169" i="1" s="1"/>
  <c r="AH185" i="1"/>
  <c r="AI185" i="1" s="1"/>
  <c r="AH26" i="1"/>
  <c r="AI26" i="1" s="1"/>
  <c r="AH146" i="1"/>
  <c r="AI146" i="1" s="1"/>
  <c r="AH162" i="1"/>
  <c r="AI162" i="1" s="1"/>
  <c r="AH178" i="1"/>
  <c r="AI178" i="1" s="1"/>
  <c r="AH194" i="1"/>
  <c r="AI194" i="1" s="1"/>
  <c r="AH35" i="1"/>
  <c r="AI35" i="1" s="1"/>
  <c r="AH51" i="1"/>
  <c r="AI51" i="1" s="1"/>
  <c r="AH67" i="1"/>
  <c r="AI67" i="1" s="1"/>
  <c r="AH83" i="1"/>
  <c r="AI83" i="1" s="1"/>
  <c r="AH99" i="1"/>
  <c r="AI99" i="1" s="1"/>
  <c r="AH115" i="1"/>
  <c r="AI115" i="1" s="1"/>
  <c r="AH131" i="1"/>
  <c r="AI131" i="1" s="1"/>
  <c r="AH28" i="1"/>
  <c r="AI28" i="1" s="1"/>
  <c r="AH140" i="1"/>
  <c r="AI140" i="1" s="1"/>
  <c r="AH156" i="1"/>
  <c r="AI156" i="1" s="1"/>
  <c r="AH172" i="1"/>
  <c r="AI172" i="1" s="1"/>
  <c r="AH180" i="1"/>
  <c r="AI180" i="1" s="1"/>
  <c r="AH196" i="1"/>
  <c r="AI196" i="1" s="1"/>
  <c r="AH13" i="1"/>
  <c r="AI13" i="1" s="1"/>
  <c r="AH9" i="1"/>
  <c r="AI9" i="1" s="1"/>
  <c r="AF8" i="1"/>
  <c r="AF10" i="1"/>
  <c r="AH10" i="1"/>
  <c r="AI10" i="1" s="1"/>
  <c r="AF9" i="1"/>
  <c r="AH14" i="1"/>
  <c r="AI14" i="1" s="1"/>
  <c r="AH8" i="1"/>
  <c r="AI8" i="1" s="1"/>
  <c r="AD91" i="1"/>
  <c r="AD108" i="1"/>
  <c r="AD92" i="1"/>
  <c r="AD76" i="1"/>
  <c r="AD52" i="1"/>
  <c r="AD36" i="1"/>
  <c r="AD20" i="1"/>
  <c r="AD8" i="1"/>
  <c r="Y8" i="1"/>
  <c r="AD173" i="1"/>
  <c r="AD198" i="1"/>
  <c r="AD171" i="1"/>
  <c r="AD139" i="1"/>
  <c r="AD184" i="1"/>
  <c r="AD152" i="1"/>
  <c r="AD142" i="1"/>
  <c r="AD158" i="1"/>
  <c r="AD105" i="1"/>
  <c r="AD97" i="1"/>
  <c r="AD89" i="1"/>
  <c r="AD81" i="1"/>
  <c r="AD73" i="1"/>
  <c r="AD65" i="1"/>
  <c r="AD57" i="1"/>
  <c r="AD49" i="1"/>
  <c r="AD41" i="1"/>
  <c r="AD33" i="1"/>
  <c r="AD25" i="1"/>
  <c r="AD17" i="1"/>
  <c r="AD201" i="1"/>
  <c r="AD169" i="1"/>
  <c r="AD137" i="1"/>
  <c r="AD194" i="1"/>
  <c r="AD199" i="1"/>
  <c r="AD167" i="1"/>
  <c r="AD135" i="1"/>
  <c r="AD128" i="1"/>
  <c r="AD180" i="1"/>
  <c r="AD148" i="1"/>
  <c r="AD154" i="1"/>
  <c r="AD150" i="1"/>
  <c r="AD75" i="1"/>
  <c r="AD100" i="1"/>
  <c r="AD84" i="1"/>
  <c r="AD68" i="1"/>
  <c r="AD60" i="1"/>
  <c r="AD44" i="1"/>
  <c r="AD28" i="1"/>
  <c r="AD12" i="1"/>
  <c r="AD205" i="1"/>
  <c r="AD141" i="1"/>
  <c r="AD203" i="1"/>
  <c r="AD132" i="1"/>
  <c r="AD113" i="1"/>
  <c r="AD110" i="1"/>
  <c r="AD102" i="1"/>
  <c r="AD94" i="1"/>
  <c r="AD86" i="1"/>
  <c r="AD78" i="1"/>
  <c r="AD70" i="1"/>
  <c r="AD62" i="1"/>
  <c r="AD54" i="1"/>
  <c r="AD46" i="1"/>
  <c r="AD38" i="1"/>
  <c r="AD30" i="1"/>
  <c r="AD22" i="1"/>
  <c r="Y14" i="1"/>
  <c r="Z14" i="1" s="1"/>
  <c r="AD14" i="1"/>
  <c r="AD10" i="1"/>
  <c r="AD197" i="1"/>
  <c r="AD165" i="1"/>
  <c r="AD133" i="1"/>
  <c r="AD190" i="1"/>
  <c r="AD195" i="1"/>
  <c r="AD163" i="1"/>
  <c r="AD131" i="1"/>
  <c r="AD124" i="1"/>
  <c r="AD176" i="1"/>
  <c r="AD144" i="1"/>
  <c r="AD122" i="1"/>
  <c r="AD126" i="1"/>
  <c r="AD35" i="1"/>
  <c r="AD193" i="1"/>
  <c r="AD161" i="1"/>
  <c r="AD129" i="1"/>
  <c r="AD186" i="1"/>
  <c r="AD191" i="1"/>
  <c r="AD159" i="1"/>
  <c r="AD127" i="1"/>
  <c r="AD204" i="1"/>
  <c r="AD172" i="1"/>
  <c r="AD136" i="1"/>
  <c r="AD166" i="1"/>
  <c r="AD118" i="1"/>
  <c r="AD112" i="1"/>
  <c r="AD104" i="1"/>
  <c r="AD96" i="1"/>
  <c r="AD88" i="1"/>
  <c r="AD80" i="1"/>
  <c r="AD72" i="1"/>
  <c r="AD64" i="1"/>
  <c r="AD56" i="1"/>
  <c r="AD48" i="1"/>
  <c r="AD40" i="1"/>
  <c r="AD32" i="1"/>
  <c r="Y24" i="1"/>
  <c r="Z24" i="1" s="1"/>
  <c r="AD24" i="1"/>
  <c r="AD16" i="1"/>
  <c r="AD9" i="1"/>
  <c r="AD189" i="1"/>
  <c r="AD157" i="1"/>
  <c r="AD125" i="1"/>
  <c r="AD182" i="1"/>
  <c r="AD187" i="1"/>
  <c r="AD155" i="1"/>
  <c r="AD123" i="1"/>
  <c r="AD200" i="1"/>
  <c r="AD168" i="1"/>
  <c r="AD116" i="1"/>
  <c r="AD134" i="1"/>
  <c r="AD170" i="1"/>
  <c r="AD83" i="1"/>
  <c r="AD51" i="1"/>
  <c r="AD27" i="1"/>
  <c r="AD93" i="1"/>
  <c r="AD53" i="1"/>
  <c r="AD29" i="1"/>
  <c r="AD21" i="1"/>
  <c r="AD13" i="1"/>
  <c r="AD185" i="1"/>
  <c r="AD153" i="1"/>
  <c r="AD121" i="1"/>
  <c r="AD206" i="1"/>
  <c r="AD183" i="1"/>
  <c r="AD151" i="1"/>
  <c r="AD119" i="1"/>
  <c r="AD196" i="1"/>
  <c r="AD164" i="1"/>
  <c r="AD162" i="1"/>
  <c r="AD178" i="1"/>
  <c r="Y138" i="1"/>
  <c r="Z138" i="1" s="1"/>
  <c r="AD138" i="1"/>
  <c r="AD99" i="1"/>
  <c r="AD67" i="1"/>
  <c r="AD43" i="1"/>
  <c r="AD109" i="1"/>
  <c r="AD77" i="1"/>
  <c r="AD61" i="1"/>
  <c r="AD45" i="1"/>
  <c r="AD106" i="1"/>
  <c r="AD82" i="1"/>
  <c r="AD74" i="1"/>
  <c r="AD58" i="1"/>
  <c r="AD34" i="1"/>
  <c r="AD18" i="1"/>
  <c r="AD181" i="1"/>
  <c r="AD149" i="1"/>
  <c r="AD117" i="1"/>
  <c r="AD120" i="1"/>
  <c r="AD179" i="1"/>
  <c r="AD147" i="1"/>
  <c r="AD115" i="1"/>
  <c r="AD192" i="1"/>
  <c r="AD160" i="1"/>
  <c r="AD130" i="1"/>
  <c r="AD146" i="1"/>
  <c r="AD11" i="1"/>
  <c r="AD107" i="1"/>
  <c r="AD59" i="1"/>
  <c r="AD19" i="1"/>
  <c r="AD101" i="1"/>
  <c r="AD85" i="1"/>
  <c r="AD69" i="1"/>
  <c r="AD37" i="1"/>
  <c r="AD98" i="1"/>
  <c r="AD90" i="1"/>
  <c r="AD66" i="1"/>
  <c r="AD50" i="1"/>
  <c r="AD42" i="1"/>
  <c r="AD26" i="1"/>
  <c r="AD111" i="1"/>
  <c r="AD103" i="1"/>
  <c r="AD95" i="1"/>
  <c r="AD87" i="1"/>
  <c r="AD79" i="1"/>
  <c r="AD71" i="1"/>
  <c r="AD63" i="1"/>
  <c r="AD55" i="1"/>
  <c r="AD47" i="1"/>
  <c r="AD39" i="1"/>
  <c r="AD31" i="1"/>
  <c r="AD23" i="1"/>
  <c r="AD15" i="1"/>
  <c r="AD177" i="1"/>
  <c r="AD145" i="1"/>
  <c r="AD202" i="1"/>
  <c r="AD207" i="1"/>
  <c r="AD175" i="1"/>
  <c r="AD143" i="1"/>
  <c r="AD140" i="1"/>
  <c r="AD188" i="1"/>
  <c r="AD156" i="1"/>
  <c r="AD174" i="1"/>
  <c r="AD114" i="1"/>
  <c r="Y83" i="1"/>
  <c r="Z83" i="1" s="1"/>
  <c r="Y51" i="1"/>
  <c r="Z51" i="1" s="1"/>
  <c r="Y19" i="1"/>
  <c r="Z19" i="1" s="1"/>
  <c r="Y163" i="1"/>
  <c r="Z163" i="1" s="1"/>
  <c r="Y113" i="1"/>
  <c r="Z113" i="1" s="1"/>
  <c r="Y110" i="1"/>
  <c r="Z110" i="1" s="1"/>
  <c r="Y102" i="1"/>
  <c r="Z102" i="1" s="1"/>
  <c r="Y94" i="1"/>
  <c r="Z94" i="1" s="1"/>
  <c r="Y86" i="1"/>
  <c r="Z86" i="1" s="1"/>
  <c r="Y78" i="1"/>
  <c r="Z78" i="1" s="1"/>
  <c r="Y70" i="1"/>
  <c r="Z70" i="1" s="1"/>
  <c r="Y62" i="1"/>
  <c r="Z62" i="1" s="1"/>
  <c r="Y54" i="1"/>
  <c r="Z54" i="1" s="1"/>
  <c r="Y46" i="1"/>
  <c r="Z46" i="1" s="1"/>
  <c r="Y38" i="1"/>
  <c r="Z38" i="1" s="1"/>
  <c r="Y30" i="1"/>
  <c r="Z30" i="1" s="1"/>
  <c r="Y22" i="1"/>
  <c r="Z22" i="1" s="1"/>
  <c r="Y10" i="1"/>
  <c r="Z10" i="1" s="1"/>
  <c r="Y201" i="1"/>
  <c r="Z201" i="1" s="1"/>
  <c r="Y169" i="1"/>
  <c r="Z169" i="1" s="1"/>
  <c r="Y137" i="1"/>
  <c r="Z137" i="1" s="1"/>
  <c r="Y194" i="1"/>
  <c r="Z194" i="1" s="1"/>
  <c r="Y199" i="1"/>
  <c r="Z199" i="1" s="1"/>
  <c r="Y167" i="1"/>
  <c r="Z167" i="1" s="1"/>
  <c r="Y135" i="1"/>
  <c r="Z135" i="1" s="1"/>
  <c r="Y128" i="1"/>
  <c r="Z128" i="1" s="1"/>
  <c r="Y180" i="1"/>
  <c r="Z180" i="1" s="1"/>
  <c r="Y148" i="1"/>
  <c r="Z148" i="1" s="1"/>
  <c r="Y154" i="1"/>
  <c r="Z154" i="1" s="1"/>
  <c r="Y150" i="1"/>
  <c r="Z150" i="1" s="1"/>
  <c r="Y193" i="1"/>
  <c r="Z193" i="1" s="1"/>
  <c r="Y161" i="1"/>
  <c r="Z161" i="1" s="1"/>
  <c r="Y129" i="1"/>
  <c r="Z129" i="1" s="1"/>
  <c r="Y186" i="1"/>
  <c r="Z186" i="1" s="1"/>
  <c r="Y191" i="1"/>
  <c r="Z191" i="1" s="1"/>
  <c r="Y159" i="1"/>
  <c r="Z159" i="1" s="1"/>
  <c r="Y127" i="1"/>
  <c r="Z127" i="1" s="1"/>
  <c r="Y204" i="1"/>
  <c r="Z204" i="1" s="1"/>
  <c r="Y172" i="1"/>
  <c r="Z172" i="1" s="1"/>
  <c r="Y136" i="1"/>
  <c r="Z136" i="1" s="1"/>
  <c r="Y166" i="1"/>
  <c r="Z166" i="1" s="1"/>
  <c r="Y118" i="1"/>
  <c r="Z118" i="1" s="1"/>
  <c r="Y107" i="1"/>
  <c r="Z107" i="1" s="1"/>
  <c r="Y67" i="1"/>
  <c r="Z67" i="1" s="1"/>
  <c r="Y35" i="1"/>
  <c r="Z35" i="1" s="1"/>
  <c r="Y133" i="1"/>
  <c r="Z133" i="1" s="1"/>
  <c r="Y131" i="1"/>
  <c r="Z131" i="1" s="1"/>
  <c r="Y144" i="1"/>
  <c r="Z144" i="1" s="1"/>
  <c r="Y112" i="1"/>
  <c r="Z112" i="1" s="1"/>
  <c r="Y88" i="1"/>
  <c r="Z88" i="1" s="1"/>
  <c r="Y64" i="1"/>
  <c r="Z64" i="1" s="1"/>
  <c r="Y48" i="1"/>
  <c r="Z48" i="1" s="1"/>
  <c r="Y32" i="1"/>
  <c r="Z32" i="1" s="1"/>
  <c r="Y16" i="1"/>
  <c r="Z16" i="1" s="1"/>
  <c r="Y109" i="1"/>
  <c r="Z109" i="1" s="1"/>
  <c r="Y101" i="1"/>
  <c r="Z101" i="1" s="1"/>
  <c r="Y93" i="1"/>
  <c r="Z93" i="1" s="1"/>
  <c r="Y85" i="1"/>
  <c r="Z85" i="1" s="1"/>
  <c r="Y77" i="1"/>
  <c r="Z77" i="1" s="1"/>
  <c r="Y69" i="1"/>
  <c r="Z69" i="1" s="1"/>
  <c r="Y61" i="1"/>
  <c r="Z61" i="1" s="1"/>
  <c r="Y53" i="1"/>
  <c r="Z53" i="1" s="1"/>
  <c r="Y45" i="1"/>
  <c r="Z45" i="1" s="1"/>
  <c r="Y37" i="1"/>
  <c r="Z37" i="1" s="1"/>
  <c r="Y29" i="1"/>
  <c r="Z29" i="1" s="1"/>
  <c r="Y21" i="1"/>
  <c r="Z21" i="1" s="1"/>
  <c r="Y13" i="1"/>
  <c r="Z13" i="1" s="1"/>
  <c r="Y189" i="1"/>
  <c r="Z189" i="1" s="1"/>
  <c r="Y157" i="1"/>
  <c r="Z157" i="1" s="1"/>
  <c r="Y125" i="1"/>
  <c r="Z125" i="1" s="1"/>
  <c r="Y182" i="1"/>
  <c r="Z182" i="1" s="1"/>
  <c r="Y187" i="1"/>
  <c r="Z187" i="1" s="1"/>
  <c r="Y155" i="1"/>
  <c r="Z155" i="1" s="1"/>
  <c r="Y123" i="1"/>
  <c r="Z123" i="1" s="1"/>
  <c r="Y200" i="1"/>
  <c r="Z200" i="1" s="1"/>
  <c r="Y168" i="1"/>
  <c r="Z168" i="1" s="1"/>
  <c r="Y116" i="1"/>
  <c r="Z116" i="1" s="1"/>
  <c r="Y134" i="1"/>
  <c r="Z134" i="1" s="1"/>
  <c r="Y170" i="1"/>
  <c r="Z170" i="1" s="1"/>
  <c r="Y185" i="1"/>
  <c r="Z185" i="1" s="1"/>
  <c r="Y153" i="1"/>
  <c r="Z153" i="1" s="1"/>
  <c r="Y121" i="1"/>
  <c r="Z121" i="1" s="1"/>
  <c r="Y206" i="1"/>
  <c r="Z206" i="1" s="1"/>
  <c r="Y183" i="1"/>
  <c r="Z183" i="1" s="1"/>
  <c r="Y151" i="1"/>
  <c r="Z151" i="1" s="1"/>
  <c r="Y119" i="1"/>
  <c r="Z119" i="1" s="1"/>
  <c r="Y196" i="1"/>
  <c r="Z196" i="1" s="1"/>
  <c r="Y164" i="1"/>
  <c r="Z164" i="1" s="1"/>
  <c r="Y162" i="1"/>
  <c r="Z162" i="1" s="1"/>
  <c r="Y178" i="1"/>
  <c r="Z178" i="1" s="1"/>
  <c r="Y91" i="1"/>
  <c r="Z91" i="1" s="1"/>
  <c r="Y59" i="1"/>
  <c r="Z59" i="1" s="1"/>
  <c r="Y27" i="1"/>
  <c r="Z27" i="1" s="1"/>
  <c r="Y165" i="1"/>
  <c r="Z165" i="1" s="1"/>
  <c r="Y190" i="1"/>
  <c r="Z190" i="1" s="1"/>
  <c r="Y124" i="1"/>
  <c r="Z124" i="1" s="1"/>
  <c r="Y122" i="1"/>
  <c r="Z122" i="1" s="1"/>
  <c r="Y104" i="1"/>
  <c r="Z104" i="1" s="1"/>
  <c r="Y80" i="1"/>
  <c r="Z80" i="1" s="1"/>
  <c r="Y15" i="1"/>
  <c r="Z15" i="1" s="1"/>
  <c r="Y181" i="1"/>
  <c r="Z181" i="1" s="1"/>
  <c r="Y149" i="1"/>
  <c r="Z149" i="1" s="1"/>
  <c r="Y117" i="1"/>
  <c r="Z117" i="1" s="1"/>
  <c r="Y120" i="1"/>
  <c r="Z120" i="1" s="1"/>
  <c r="Y179" i="1"/>
  <c r="Z179" i="1" s="1"/>
  <c r="Y147" i="1"/>
  <c r="Z147" i="1" s="1"/>
  <c r="Y115" i="1"/>
  <c r="Z115" i="1" s="1"/>
  <c r="Y192" i="1"/>
  <c r="Z192" i="1" s="1"/>
  <c r="Y160" i="1"/>
  <c r="Z160" i="1" s="1"/>
  <c r="Y130" i="1"/>
  <c r="Z130" i="1" s="1"/>
  <c r="Y146" i="1"/>
  <c r="Z146" i="1" s="1"/>
  <c r="Y74" i="1"/>
  <c r="Z74" i="1" s="1"/>
  <c r="Y66" i="1"/>
  <c r="Z66" i="1" s="1"/>
  <c r="Y50" i="1"/>
  <c r="Z50" i="1" s="1"/>
  <c r="Y34" i="1"/>
  <c r="Z34" i="1" s="1"/>
  <c r="Y18" i="1"/>
  <c r="Z18" i="1" s="1"/>
  <c r="Y111" i="1"/>
  <c r="Z111" i="1" s="1"/>
  <c r="Y95" i="1"/>
  <c r="Z95" i="1" s="1"/>
  <c r="Y79" i="1"/>
  <c r="Z79" i="1" s="1"/>
  <c r="Y63" i="1"/>
  <c r="Z63" i="1" s="1"/>
  <c r="Y47" i="1"/>
  <c r="Z47" i="1" s="1"/>
  <c r="Y39" i="1"/>
  <c r="Z39" i="1" s="1"/>
  <c r="Y23" i="1"/>
  <c r="Z23" i="1" s="1"/>
  <c r="Y108" i="1"/>
  <c r="Z108" i="1" s="1"/>
  <c r="Y100" i="1"/>
  <c r="Z100" i="1" s="1"/>
  <c r="Y92" i="1"/>
  <c r="Z92" i="1" s="1"/>
  <c r="Y84" i="1"/>
  <c r="Z84" i="1" s="1"/>
  <c r="Y76" i="1"/>
  <c r="Z76" i="1" s="1"/>
  <c r="Y68" i="1"/>
  <c r="Z68" i="1" s="1"/>
  <c r="Y60" i="1"/>
  <c r="Z60" i="1" s="1"/>
  <c r="Y52" i="1"/>
  <c r="Z52" i="1" s="1"/>
  <c r="Y44" i="1"/>
  <c r="Z44" i="1" s="1"/>
  <c r="Y36" i="1"/>
  <c r="Z36" i="1" s="1"/>
  <c r="Y28" i="1"/>
  <c r="Z28" i="1" s="1"/>
  <c r="Y20" i="1"/>
  <c r="Z20" i="1" s="1"/>
  <c r="Y12" i="1"/>
  <c r="Z12" i="1" s="1"/>
  <c r="Z8" i="1"/>
  <c r="Y177" i="1"/>
  <c r="Z177" i="1" s="1"/>
  <c r="Y145" i="1"/>
  <c r="Z145" i="1" s="1"/>
  <c r="Y202" i="1"/>
  <c r="Z202" i="1" s="1"/>
  <c r="Y207" i="1"/>
  <c r="Z207" i="1" s="1"/>
  <c r="Y175" i="1"/>
  <c r="Z175" i="1" s="1"/>
  <c r="Y143" i="1"/>
  <c r="Z143" i="1" s="1"/>
  <c r="Y140" i="1"/>
  <c r="Z140" i="1" s="1"/>
  <c r="Y188" i="1"/>
  <c r="Z188" i="1" s="1"/>
  <c r="Y156" i="1"/>
  <c r="Z156" i="1" s="1"/>
  <c r="Y174" i="1"/>
  <c r="Z174" i="1" s="1"/>
  <c r="Y114" i="1"/>
  <c r="Z114" i="1" s="1"/>
  <c r="Y99" i="1"/>
  <c r="Z99" i="1" s="1"/>
  <c r="Y75" i="1"/>
  <c r="Z75" i="1" s="1"/>
  <c r="Y43" i="1"/>
  <c r="Z43" i="1" s="1"/>
  <c r="Y197" i="1"/>
  <c r="Z197" i="1" s="1"/>
  <c r="Y195" i="1"/>
  <c r="Z195" i="1" s="1"/>
  <c r="Y176" i="1"/>
  <c r="Z176" i="1" s="1"/>
  <c r="Y126" i="1"/>
  <c r="Z126" i="1" s="1"/>
  <c r="Y96" i="1"/>
  <c r="Z96" i="1" s="1"/>
  <c r="Y72" i="1"/>
  <c r="Z72" i="1" s="1"/>
  <c r="Y56" i="1"/>
  <c r="Z56" i="1" s="1"/>
  <c r="Y40" i="1"/>
  <c r="Z40" i="1" s="1"/>
  <c r="Y9" i="1"/>
  <c r="Z9" i="1" s="1"/>
  <c r="Y106" i="1"/>
  <c r="Z106" i="1" s="1"/>
  <c r="Y98" i="1"/>
  <c r="Z98" i="1" s="1"/>
  <c r="Y90" i="1"/>
  <c r="Z90" i="1" s="1"/>
  <c r="Y82" i="1"/>
  <c r="Z82" i="1" s="1"/>
  <c r="Y58" i="1"/>
  <c r="Z58" i="1" s="1"/>
  <c r="Y42" i="1"/>
  <c r="Z42" i="1" s="1"/>
  <c r="Y26" i="1"/>
  <c r="Z26" i="1" s="1"/>
  <c r="Y103" i="1"/>
  <c r="Z103" i="1" s="1"/>
  <c r="Y87" i="1"/>
  <c r="Z87" i="1" s="1"/>
  <c r="Y71" i="1"/>
  <c r="Z71" i="1" s="1"/>
  <c r="Y55" i="1"/>
  <c r="Z55" i="1" s="1"/>
  <c r="Y31" i="1"/>
  <c r="Z31" i="1" s="1"/>
  <c r="Y105" i="1"/>
  <c r="Z105" i="1" s="1"/>
  <c r="Y97" i="1"/>
  <c r="Z97" i="1" s="1"/>
  <c r="Y89" i="1"/>
  <c r="Z89" i="1" s="1"/>
  <c r="Y81" i="1"/>
  <c r="Z81" i="1" s="1"/>
  <c r="Y73" i="1"/>
  <c r="Z73" i="1" s="1"/>
  <c r="Y65" i="1"/>
  <c r="Z65" i="1" s="1"/>
  <c r="Y57" i="1"/>
  <c r="Z57" i="1" s="1"/>
  <c r="Y49" i="1"/>
  <c r="Z49" i="1" s="1"/>
  <c r="Y41" i="1"/>
  <c r="Z41" i="1" s="1"/>
  <c r="Y33" i="1"/>
  <c r="Z33" i="1" s="1"/>
  <c r="Y25" i="1"/>
  <c r="Z25" i="1" s="1"/>
  <c r="Y17" i="1"/>
  <c r="Z17" i="1" s="1"/>
  <c r="Y205" i="1"/>
  <c r="Z205" i="1" s="1"/>
  <c r="Y173" i="1"/>
  <c r="Z173" i="1" s="1"/>
  <c r="Y141" i="1"/>
  <c r="Z141" i="1" s="1"/>
  <c r="Y198" i="1"/>
  <c r="Z198" i="1" s="1"/>
  <c r="Y203" i="1"/>
  <c r="Z203" i="1" s="1"/>
  <c r="Y171" i="1"/>
  <c r="Z171" i="1" s="1"/>
  <c r="Y139" i="1"/>
  <c r="Z139" i="1" s="1"/>
  <c r="Y132" i="1"/>
  <c r="Z132" i="1" s="1"/>
  <c r="Y184" i="1"/>
  <c r="Z184" i="1" s="1"/>
  <c r="Y152" i="1"/>
  <c r="Z152" i="1" s="1"/>
  <c r="Y142" i="1"/>
  <c r="Z142" i="1" s="1"/>
  <c r="Y158" i="1"/>
  <c r="Z158" i="1" s="1"/>
  <c r="S8" i="1"/>
  <c r="F194" i="2" s="1"/>
  <c r="U22" i="1"/>
  <c r="T26" i="1"/>
  <c r="AC26" i="1" s="1"/>
  <c r="S13" i="1"/>
  <c r="C165" i="2" a="1"/>
  <c r="C165" i="2" s="1"/>
  <c r="C166" i="2" s="1" a="1"/>
  <c r="C166" i="2" s="1"/>
  <c r="C151" i="2" a="1"/>
  <c r="C151" i="2" s="1"/>
  <c r="D50" i="2"/>
  <c r="S9" i="1"/>
  <c r="D194" i="2"/>
  <c r="D202" i="2"/>
  <c r="D201" i="2"/>
  <c r="D193" i="2"/>
  <c r="D200" i="2"/>
  <c r="D192" i="2"/>
  <c r="D199" i="2"/>
  <c r="D190" i="2"/>
  <c r="D198" i="2"/>
  <c r="D197" i="2"/>
  <c r="D196" i="2"/>
  <c r="D203" i="2"/>
  <c r="D195" i="2"/>
  <c r="D191" i="2"/>
  <c r="D189" i="2"/>
  <c r="H202" i="2"/>
  <c r="H197" i="2"/>
  <c r="H191" i="2"/>
  <c r="H192" i="2"/>
  <c r="H198" i="2"/>
  <c r="H199" i="2"/>
  <c r="H200" i="2"/>
  <c r="H201" i="2"/>
  <c r="H194" i="2"/>
  <c r="H195" i="2"/>
  <c r="H203" i="2"/>
  <c r="H188" i="2"/>
  <c r="H196" i="2"/>
  <c r="H189" i="2"/>
  <c r="H45" i="2"/>
  <c r="D84" i="2"/>
  <c r="T22" i="1"/>
  <c r="AC22" i="1" s="1"/>
  <c r="T21" i="1"/>
  <c r="AC21" i="1" s="1"/>
  <c r="D82" i="2"/>
  <c r="E69" i="2"/>
  <c r="G69" i="2"/>
  <c r="E101" i="2"/>
  <c r="F51" i="2"/>
  <c r="F50" i="2"/>
  <c r="F189" i="2" l="1"/>
  <c r="F193" i="2"/>
  <c r="D188" i="2"/>
  <c r="F188" i="2"/>
  <c r="AG156" i="1"/>
  <c r="AG175" i="1"/>
  <c r="AG177" i="1"/>
  <c r="AG39" i="1"/>
  <c r="AG71" i="1"/>
  <c r="AG103" i="1"/>
  <c r="AG37" i="1"/>
  <c r="AG19" i="1"/>
  <c r="AG146" i="1"/>
  <c r="AG34" i="1"/>
  <c r="AG106" i="1"/>
  <c r="AG32" i="1"/>
  <c r="AG64" i="1"/>
  <c r="AG96" i="1"/>
  <c r="AG127" i="1"/>
  <c r="AG129" i="1"/>
  <c r="AG124" i="1"/>
  <c r="AG10" i="1"/>
  <c r="AG194" i="1"/>
  <c r="AG158" i="1"/>
  <c r="AG8" i="1"/>
  <c r="AG76" i="1"/>
  <c r="AG188" i="1"/>
  <c r="AG207" i="1"/>
  <c r="AG15" i="1"/>
  <c r="AG47" i="1"/>
  <c r="AG79" i="1"/>
  <c r="AG111" i="1"/>
  <c r="AG69" i="1"/>
  <c r="AG59" i="1"/>
  <c r="AG130" i="1"/>
  <c r="AG170" i="1"/>
  <c r="AG40" i="1"/>
  <c r="AG72" i="1"/>
  <c r="AG104" i="1"/>
  <c r="AG136" i="1"/>
  <c r="AG159" i="1"/>
  <c r="AG161" i="1"/>
  <c r="AG131" i="1"/>
  <c r="AG133" i="1"/>
  <c r="AG14" i="1"/>
  <c r="AG154" i="1"/>
  <c r="AG20" i="1"/>
  <c r="AG92" i="1"/>
  <c r="AG50" i="1"/>
  <c r="AG147" i="1"/>
  <c r="AG149" i="1"/>
  <c r="AG58" i="1"/>
  <c r="AG45" i="1"/>
  <c r="AG43" i="1"/>
  <c r="AG138" i="1"/>
  <c r="AG196" i="1"/>
  <c r="AG206" i="1"/>
  <c r="AG13" i="1"/>
  <c r="AG93" i="1"/>
  <c r="AG200" i="1"/>
  <c r="AG182" i="1"/>
  <c r="AG9" i="1"/>
  <c r="AG166" i="1"/>
  <c r="AG126" i="1"/>
  <c r="AG190" i="1"/>
  <c r="AG38" i="1"/>
  <c r="AG70" i="1"/>
  <c r="AG102" i="1"/>
  <c r="AG203" i="1"/>
  <c r="AG28" i="1"/>
  <c r="AG84" i="1"/>
  <c r="AG135" i="1"/>
  <c r="AG137" i="1"/>
  <c r="AG25" i="1"/>
  <c r="AG57" i="1"/>
  <c r="AG89" i="1"/>
  <c r="AG142" i="1"/>
  <c r="AG171" i="1"/>
  <c r="AG66" i="1"/>
  <c r="AG160" i="1"/>
  <c r="AG179" i="1"/>
  <c r="AG181" i="1"/>
  <c r="AG61" i="1"/>
  <c r="AG67" i="1"/>
  <c r="AG119" i="1"/>
  <c r="AG121" i="1"/>
  <c r="AG21" i="1"/>
  <c r="AG27" i="1"/>
  <c r="AG123" i="1"/>
  <c r="AG125" i="1"/>
  <c r="AG16" i="1"/>
  <c r="AG122" i="1"/>
  <c r="AG46" i="1"/>
  <c r="AG78" i="1"/>
  <c r="AG110" i="1"/>
  <c r="AG141" i="1"/>
  <c r="AG44" i="1"/>
  <c r="AG100" i="1"/>
  <c r="AG148" i="1"/>
  <c r="AG167" i="1"/>
  <c r="AG169" i="1"/>
  <c r="AG33" i="1"/>
  <c r="AG65" i="1"/>
  <c r="AG97" i="1"/>
  <c r="AG152" i="1"/>
  <c r="AG140" i="1"/>
  <c r="AG23" i="1"/>
  <c r="AG55" i="1"/>
  <c r="AG87" i="1"/>
  <c r="AG85" i="1"/>
  <c r="AG107" i="1"/>
  <c r="AG74" i="1"/>
  <c r="AG178" i="1"/>
  <c r="AG134" i="1"/>
  <c r="AG48" i="1"/>
  <c r="AG80" i="1"/>
  <c r="AG112" i="1"/>
  <c r="AG172" i="1"/>
  <c r="AG191" i="1"/>
  <c r="AG193" i="1"/>
  <c r="AG144" i="1"/>
  <c r="AG163" i="1"/>
  <c r="AG165" i="1"/>
  <c r="AG198" i="1"/>
  <c r="AG36" i="1"/>
  <c r="AG108" i="1"/>
  <c r="AG114" i="1"/>
  <c r="AG202" i="1"/>
  <c r="AG26" i="1"/>
  <c r="AG90" i="1"/>
  <c r="AG192" i="1"/>
  <c r="AG120" i="1"/>
  <c r="AG77" i="1"/>
  <c r="AG99" i="1"/>
  <c r="AG151" i="1"/>
  <c r="AG153" i="1"/>
  <c r="AG29" i="1"/>
  <c r="AG51" i="1"/>
  <c r="AG116" i="1"/>
  <c r="AG155" i="1"/>
  <c r="AG157" i="1"/>
  <c r="AG24" i="1"/>
  <c r="AG22" i="1"/>
  <c r="AG54" i="1"/>
  <c r="AG86" i="1"/>
  <c r="AG113" i="1"/>
  <c r="AG205" i="1"/>
  <c r="AG60" i="1"/>
  <c r="AG75" i="1"/>
  <c r="AG180" i="1"/>
  <c r="AG199" i="1"/>
  <c r="AG201" i="1"/>
  <c r="AG41" i="1"/>
  <c r="AG73" i="1"/>
  <c r="AG105" i="1"/>
  <c r="AG184" i="1"/>
  <c r="AG173" i="1"/>
  <c r="AG174" i="1"/>
  <c r="AG143" i="1"/>
  <c r="AG145" i="1"/>
  <c r="AG31" i="1"/>
  <c r="AG63" i="1"/>
  <c r="AG95" i="1"/>
  <c r="AG101" i="1"/>
  <c r="AG18" i="1"/>
  <c r="AG82" i="1"/>
  <c r="AG162" i="1"/>
  <c r="AG56" i="1"/>
  <c r="AG88" i="1"/>
  <c r="AG118" i="1"/>
  <c r="AG204" i="1"/>
  <c r="AG186" i="1"/>
  <c r="AG35" i="1"/>
  <c r="AG176" i="1"/>
  <c r="AG195" i="1"/>
  <c r="AG197" i="1"/>
  <c r="AG52" i="1"/>
  <c r="AG91" i="1"/>
  <c r="AG42" i="1"/>
  <c r="AG98" i="1"/>
  <c r="AG115" i="1"/>
  <c r="AG117" i="1"/>
  <c r="AG109" i="1"/>
  <c r="AG11" i="1"/>
  <c r="AG164" i="1"/>
  <c r="AG183" i="1"/>
  <c r="AG185" i="1"/>
  <c r="AG53" i="1"/>
  <c r="AG83" i="1"/>
  <c r="AG168" i="1"/>
  <c r="AG187" i="1"/>
  <c r="AG189" i="1"/>
  <c r="AG30" i="1"/>
  <c r="AG62" i="1"/>
  <c r="AG94" i="1"/>
  <c r="AG132" i="1"/>
  <c r="AG12" i="1"/>
  <c r="AG68" i="1"/>
  <c r="AG150" i="1"/>
  <c r="AG128" i="1"/>
  <c r="AG17" i="1"/>
  <c r="AG49" i="1"/>
  <c r="AG81" i="1"/>
  <c r="AG139" i="1"/>
  <c r="AA8" i="1"/>
  <c r="F71" i="2"/>
  <c r="AA84" i="1"/>
  <c r="AA152" i="1"/>
  <c r="AA138" i="1"/>
  <c r="AA142" i="1"/>
  <c r="AA25" i="1"/>
  <c r="AA89" i="1"/>
  <c r="AA79" i="1"/>
  <c r="AA141" i="1"/>
  <c r="AA33" i="1"/>
  <c r="AA207" i="1"/>
  <c r="AA188" i="1"/>
  <c r="AA195" i="1"/>
  <c r="AA72" i="1"/>
  <c r="AA105" i="1"/>
  <c r="AA73" i="1"/>
  <c r="AA41" i="1"/>
  <c r="AA205" i="1"/>
  <c r="AA184" i="1"/>
  <c r="AA24" i="1"/>
  <c r="AA99" i="1"/>
  <c r="AA106" i="1"/>
  <c r="AA58" i="1"/>
  <c r="AA87" i="1"/>
  <c r="AA203" i="1"/>
  <c r="AA119" i="1"/>
  <c r="AA178" i="1"/>
  <c r="AA130" i="1"/>
  <c r="AA50" i="1"/>
  <c r="AA95" i="1"/>
  <c r="AA39" i="1"/>
  <c r="AA92" i="1"/>
  <c r="AA60" i="1"/>
  <c r="AA28" i="1"/>
  <c r="AA177" i="1"/>
  <c r="AA175" i="1"/>
  <c r="AA156" i="1"/>
  <c r="AA176" i="1"/>
  <c r="AA56" i="1"/>
  <c r="AA97" i="1"/>
  <c r="AA65" i="1"/>
  <c r="AA191" i="1"/>
  <c r="AA52" i="1"/>
  <c r="AA146" i="1"/>
  <c r="AA190" i="1"/>
  <c r="AA201" i="1"/>
  <c r="AA40" i="1"/>
  <c r="AA43" i="1"/>
  <c r="AA143" i="1"/>
  <c r="AA170" i="1"/>
  <c r="AA171" i="1"/>
  <c r="AA34" i="1"/>
  <c r="AA173" i="1"/>
  <c r="AA57" i="1"/>
  <c r="AA20" i="1"/>
  <c r="AA199" i="1"/>
  <c r="AA36" i="1"/>
  <c r="AA68" i="1"/>
  <c r="AA100" i="1"/>
  <c r="AA47" i="1"/>
  <c r="AA111" i="1"/>
  <c r="AA66" i="1"/>
  <c r="AA132" i="1"/>
  <c r="AA198" i="1"/>
  <c r="AA49" i="1"/>
  <c r="AA31" i="1"/>
  <c r="AA103" i="1"/>
  <c r="AA82" i="1"/>
  <c r="AA9" i="1"/>
  <c r="AA11" i="1"/>
  <c r="AA158" i="1"/>
  <c r="AA17" i="1"/>
  <c r="AA81" i="1"/>
  <c r="AA96" i="1"/>
  <c r="AA197" i="1"/>
  <c r="AA114" i="1"/>
  <c r="AA140" i="1"/>
  <c r="AA202" i="1"/>
  <c r="AA14" i="1"/>
  <c r="AA44" i="1"/>
  <c r="AA76" i="1"/>
  <c r="AA108" i="1"/>
  <c r="AA63" i="1"/>
  <c r="AA18" i="1"/>
  <c r="AA74" i="1"/>
  <c r="AA139" i="1"/>
  <c r="AA55" i="1"/>
  <c r="AA26" i="1"/>
  <c r="AA90" i="1"/>
  <c r="AA126" i="1"/>
  <c r="AA12" i="1"/>
  <c r="AA192" i="1"/>
  <c r="AA120" i="1"/>
  <c r="AA15" i="1"/>
  <c r="AA59" i="1"/>
  <c r="AA185" i="1"/>
  <c r="AA168" i="1"/>
  <c r="AA189" i="1"/>
  <c r="AA37" i="1"/>
  <c r="AA69" i="1"/>
  <c r="AA101" i="1"/>
  <c r="AA48" i="1"/>
  <c r="AA144" i="1"/>
  <c r="AA67" i="1"/>
  <c r="AA136" i="1"/>
  <c r="AA161" i="1"/>
  <c r="AA169" i="1"/>
  <c r="AA30" i="1"/>
  <c r="AA94" i="1"/>
  <c r="AA71" i="1"/>
  <c r="AA42" i="1"/>
  <c r="AA98" i="1"/>
  <c r="AA75" i="1"/>
  <c r="AA174" i="1"/>
  <c r="AA145" i="1"/>
  <c r="AA23" i="1"/>
  <c r="AA115" i="1"/>
  <c r="AA117" i="1"/>
  <c r="AA80" i="1"/>
  <c r="AA91" i="1"/>
  <c r="AA196" i="1"/>
  <c r="AA206" i="1"/>
  <c r="AA200" i="1"/>
  <c r="AA182" i="1"/>
  <c r="AA13" i="1"/>
  <c r="AA45" i="1"/>
  <c r="AA77" i="1"/>
  <c r="AA109" i="1"/>
  <c r="AA64" i="1"/>
  <c r="AA131" i="1"/>
  <c r="AA107" i="1"/>
  <c r="AA172" i="1"/>
  <c r="AA193" i="1"/>
  <c r="AA180" i="1"/>
  <c r="AA38" i="1"/>
  <c r="AA70" i="1"/>
  <c r="AA102" i="1"/>
  <c r="AA19" i="1"/>
  <c r="AA186" i="1"/>
  <c r="AA150" i="1"/>
  <c r="AA194" i="1"/>
  <c r="AA10" i="1"/>
  <c r="AA147" i="1"/>
  <c r="AA149" i="1"/>
  <c r="AA104" i="1"/>
  <c r="AA165" i="1"/>
  <c r="AA121" i="1"/>
  <c r="AA134" i="1"/>
  <c r="AA123" i="1"/>
  <c r="AA125" i="1"/>
  <c r="AA21" i="1"/>
  <c r="AA53" i="1"/>
  <c r="AA85" i="1"/>
  <c r="AA16" i="1"/>
  <c r="AA88" i="1"/>
  <c r="AA133" i="1"/>
  <c r="AA118" i="1"/>
  <c r="AA204" i="1"/>
  <c r="AA128" i="1"/>
  <c r="AA46" i="1"/>
  <c r="AA78" i="1"/>
  <c r="AA110" i="1"/>
  <c r="AA51" i="1"/>
  <c r="AA122" i="1"/>
  <c r="AA162" i="1"/>
  <c r="AA151" i="1"/>
  <c r="AA116" i="1"/>
  <c r="AA35" i="1"/>
  <c r="AA127" i="1"/>
  <c r="AA154" i="1"/>
  <c r="AA135" i="1"/>
  <c r="AA137" i="1"/>
  <c r="AA22" i="1"/>
  <c r="AA86" i="1"/>
  <c r="AA113" i="1"/>
  <c r="AA160" i="1"/>
  <c r="AA179" i="1"/>
  <c r="AA181" i="1"/>
  <c r="AA27" i="1"/>
  <c r="AA153" i="1"/>
  <c r="AA155" i="1"/>
  <c r="AA157" i="1"/>
  <c r="AA29" i="1"/>
  <c r="AA61" i="1"/>
  <c r="AA93" i="1"/>
  <c r="AA32" i="1"/>
  <c r="AA112" i="1"/>
  <c r="AA166" i="1"/>
  <c r="AA129" i="1"/>
  <c r="AA54" i="1"/>
  <c r="AA83" i="1"/>
  <c r="AA124" i="1"/>
  <c r="AA164" i="1"/>
  <c r="AA183" i="1"/>
  <c r="AA187" i="1"/>
  <c r="AA159" i="1"/>
  <c r="AA148" i="1"/>
  <c r="AA167" i="1"/>
  <c r="AA62" i="1"/>
  <c r="AA163" i="1"/>
  <c r="C167" i="2" a="1"/>
  <c r="C167" i="2" s="1"/>
  <c r="C168" i="2" s="1" a="1"/>
  <c r="C168" i="2" s="1"/>
  <c r="C152" i="2" a="1"/>
  <c r="C152" i="2" s="1"/>
  <c r="D51" i="2"/>
  <c r="D72" i="2"/>
  <c r="D132" i="2"/>
  <c r="F197" i="2"/>
  <c r="F203" i="2"/>
  <c r="F72" i="2"/>
  <c r="F191" i="2"/>
  <c r="F195" i="2"/>
  <c r="F196" i="2"/>
  <c r="F199" i="2"/>
  <c r="F198" i="2"/>
  <c r="F202" i="2"/>
  <c r="F201" i="2"/>
  <c r="F200" i="2"/>
  <c r="F192" i="2"/>
  <c r="F190" i="2"/>
  <c r="I203" i="2"/>
  <c r="D77" i="2"/>
  <c r="D78" i="2"/>
  <c r="D104" i="2"/>
  <c r="D45" i="2"/>
  <c r="E203" i="2" s="1"/>
  <c r="F44" i="2"/>
  <c r="F45" i="2"/>
  <c r="D162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27" i="2"/>
  <c r="F24" i="2"/>
  <c r="D24" i="2"/>
  <c r="C169" i="2" l="1" a="1"/>
  <c r="C169" i="2" s="1"/>
  <c r="C170" i="2" s="1" a="1"/>
  <c r="C170" i="2" s="1"/>
  <c r="C153" i="2" a="1"/>
  <c r="C153" i="2" s="1"/>
  <c r="G203" i="2"/>
  <c r="D163" i="2"/>
  <c r="D16" i="2"/>
  <c r="F16" i="2"/>
  <c r="H16" i="2"/>
  <c r="H18" i="2" s="1"/>
  <c r="D19" i="2"/>
  <c r="D20" i="2"/>
  <c r="D21" i="2"/>
  <c r="D22" i="2"/>
  <c r="D23" i="2"/>
  <c r="F18" i="2"/>
  <c r="F19" i="2"/>
  <c r="F20" i="2"/>
  <c r="F21" i="2"/>
  <c r="F22" i="2"/>
  <c r="F23" i="2"/>
  <c r="F25" i="2"/>
  <c r="C171" i="2" l="1" a="1"/>
  <c r="C171" i="2" s="1"/>
  <c r="C154" i="2" a="1"/>
  <c r="C154" i="2" s="1"/>
  <c r="C155" i="2" s="1" a="1"/>
  <c r="C155" i="2" s="1"/>
  <c r="C156" i="2" s="1" a="1"/>
  <c r="C156" i="2" s="1"/>
  <c r="C157" i="2" s="1" a="1"/>
  <c r="C157" i="2" s="1"/>
  <c r="D145" i="2"/>
  <c r="D159" i="2" s="1"/>
  <c r="D164" i="2"/>
  <c r="C172" i="2" l="1" a="1"/>
  <c r="C172" i="2" s="1"/>
  <c r="C173" i="2" s="1" a="1"/>
  <c r="C173" i="2" s="1"/>
  <c r="C174" i="2" s="1" a="1"/>
  <c r="C174" i="2" s="1"/>
  <c r="C175" i="2" s="1" a="1"/>
  <c r="C175" i="2" s="1"/>
  <c r="C176" i="2" s="1" a="1"/>
  <c r="C176" i="2" s="1"/>
  <c r="C177" i="2" s="1" a="1"/>
  <c r="C177" i="2" s="1"/>
  <c r="C178" i="2" s="1" a="1"/>
  <c r="C178" i="2" s="1"/>
  <c r="C179" i="2" s="1" a="1"/>
  <c r="C179" i="2" s="1"/>
  <c r="C180" i="2" s="1" a="1"/>
  <c r="C180" i="2" s="1"/>
  <c r="C181" i="2" s="1" a="1"/>
  <c r="C181" i="2" s="1"/>
  <c r="D165" i="2"/>
  <c r="C51" i="2"/>
  <c r="C50" i="2"/>
  <c r="H15" i="2" l="1"/>
  <c r="F15" i="2"/>
  <c r="D109" i="2"/>
  <c r="D166" i="2"/>
  <c r="D168" i="2" l="1"/>
  <c r="D167" i="2"/>
  <c r="D169" i="2" l="1"/>
  <c r="D170" i="2" l="1"/>
  <c r="D15" i="2"/>
  <c r="D136" i="2"/>
  <c r="D172" i="2" l="1"/>
  <c r="D171" i="2"/>
  <c r="E138" i="2"/>
  <c r="E137" i="2"/>
  <c r="E139" i="2"/>
  <c r="E140" i="2"/>
  <c r="D25" i="2" l="1"/>
  <c r="D173" i="2" l="1"/>
  <c r="D149" i="2" l="1"/>
  <c r="D174" i="2"/>
  <c r="D150" i="2"/>
  <c r="D151" i="2" l="1"/>
  <c r="D175" i="2"/>
  <c r="D176" i="2" l="1"/>
  <c r="D152" i="2"/>
  <c r="D177" i="2" l="1"/>
  <c r="D153" i="2"/>
  <c r="D178" i="2" l="1"/>
  <c r="D154" i="2"/>
  <c r="D179" i="2" l="1"/>
  <c r="D155" i="2"/>
  <c r="D181" i="2" l="1"/>
  <c r="D180" i="2"/>
  <c r="D156" i="2"/>
  <c r="E181" i="2" l="1"/>
  <c r="D157" i="2"/>
  <c r="E157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<sst xmlns="http://schemas.openxmlformats.org/spreadsheetml/2006/main" count="778" uniqueCount="527">
  <si>
    <t xml:space="preserve">A guide on using this workbook is available from the ICA Missouri Knowledge Base. </t>
  </si>
  <si>
    <t>Agency Name</t>
  </si>
  <si>
    <t>Project Name</t>
  </si>
  <si>
    <t>Agency name (if not in list)</t>
  </si>
  <si>
    <t>Project Name (if not in list)</t>
  </si>
  <si>
    <t>Project Type</t>
  </si>
  <si>
    <t>CoC</t>
  </si>
  <si>
    <r>
      <t xml:space="preserve">Please enter the same </t>
    </r>
    <r>
      <rPr>
        <b/>
        <sz val="10"/>
        <rFont val="Calibri"/>
        <family val="2"/>
      </rPr>
      <t>number</t>
    </r>
    <r>
      <rPr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>or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letter</t>
    </r>
    <r>
      <rPr>
        <sz val="10"/>
        <rFont val="Calibri"/>
        <family val="2"/>
      </rPr>
      <t xml:space="preserve"> for each client in the same household. </t>
    </r>
  </si>
  <si>
    <t xml:space="preserve">Please select the household type for your client. </t>
  </si>
  <si>
    <t xml:space="preserve">Please enter your client's age in number of years. </t>
  </si>
  <si>
    <t>Has your client ever served in the US Armed Forces?</t>
  </si>
  <si>
    <t>Is your client a child 17 years or under who is a dependent of a Parenting Youth?</t>
  </si>
  <si>
    <r>
      <t xml:space="preserve">A client is considered chronic if they have a self-reported disability </t>
    </r>
    <r>
      <rPr>
        <b/>
        <u/>
        <sz val="10"/>
        <rFont val="Calibri"/>
        <family val="2"/>
      </rPr>
      <t>AND</t>
    </r>
    <r>
      <rPr>
        <sz val="10"/>
        <rFont val="Calibri"/>
        <family val="2"/>
      </rPr>
      <t xml:space="preserve"> been homeless 12 or more months, or 4 or more times in the past 3 years. </t>
    </r>
  </si>
  <si>
    <t xml:space="preserve">Only answer these questions if your project is in the Balance of State CoC. </t>
  </si>
  <si>
    <t>Client Identifier</t>
  </si>
  <si>
    <t>Household ID</t>
  </si>
  <si>
    <t xml:space="preserve">Household Type (1. Adults &amp; Children, 2. Adults only, 3. Children Only) </t>
  </si>
  <si>
    <t>Age</t>
  </si>
  <si>
    <t>Race &amp; Ethnicity</t>
  </si>
  <si>
    <t>Veteran? (Y/N)</t>
  </si>
  <si>
    <t>Parenting Youth? (Y/N)</t>
  </si>
  <si>
    <t>Child of Parenting Youth? (Y/N)</t>
  </si>
  <si>
    <t>Unaccompanied Youth? (Y/N)</t>
  </si>
  <si>
    <t>Chronic Status (Y/N)</t>
  </si>
  <si>
    <t>Adult with a Serious Mental Illness (Y/N)</t>
  </si>
  <si>
    <t>Adult with a Substance Use Disorder (Y/N)</t>
  </si>
  <si>
    <t>Adult with HIV/AIDS (Y/N)</t>
  </si>
  <si>
    <t>Fleeing Domestic Violence (Y/N)</t>
  </si>
  <si>
    <t>Current County (BoS Only)</t>
  </si>
  <si>
    <t>County of Last Permanent Address (BoS Only)</t>
  </si>
  <si>
    <t>Unique Household ID Count</t>
  </si>
  <si>
    <t>Unique Count Sum</t>
  </si>
  <si>
    <t>Chronic Household Flag</t>
  </si>
  <si>
    <t>Parenting Youth Flag</t>
  </si>
  <si>
    <t>PY Age Flag</t>
  </si>
  <si>
    <t>Chronic Check Count</t>
  </si>
  <si>
    <t>Vet in House Flag</t>
  </si>
  <si>
    <t>Adults &amp; Children</t>
  </si>
  <si>
    <t>Barton</t>
  </si>
  <si>
    <t>Barry</t>
  </si>
  <si>
    <t>Note: Once this tab has been reviewed and is accurate, ICA encourages you to send this file in an email to the ICA Missouri Helpdesk (mohmis@icalliances.org).</t>
  </si>
  <si>
    <t>Agency name if not in list</t>
  </si>
  <si>
    <t>Project Name if not in list</t>
  </si>
  <si>
    <t>Section 1:  Total Homeless Population</t>
  </si>
  <si>
    <t>The green cells here will automatically 
populate based upon the information 
entered into the Client Level Data tab. 
Do not attempt to change any information on this in green cells.</t>
  </si>
  <si>
    <t>Adults Only</t>
  </si>
  <si>
    <t>Children Only</t>
  </si>
  <si>
    <t>(Includes singles, couples with no children or parents with only adult children.)</t>
  </si>
  <si>
    <t>(Any group of family members where at least one person is over age 18 and at least one person is under 18.)</t>
  </si>
  <si>
    <t>(Single children and families with parents who are under 18 years old.)</t>
  </si>
  <si>
    <t>Total number of HOUSEHOLDS</t>
  </si>
  <si>
    <t>Total number of PERSONS</t>
  </si>
  <si>
    <t>AGE</t>
  </si>
  <si>
    <t>Number of persons (under age 18)</t>
  </si>
  <si>
    <t>Does not apply.</t>
  </si>
  <si>
    <t>Number of persons (age 18-24)</t>
  </si>
  <si>
    <t>Number of persons (age 25-34)</t>
  </si>
  <si>
    <t>Number of persons (age 35-44)</t>
  </si>
  <si>
    <t>Number of persons (age 45-54)</t>
  </si>
  <si>
    <t>Number of persons (age 55-64)</t>
  </si>
  <si>
    <t>Number of persons 65 and older</t>
  </si>
  <si>
    <t>Not Answered/Don't Know/Client Prefers Not To Answer</t>
  </si>
  <si>
    <t>ar</t>
  </si>
  <si>
    <t>RACE &amp; ETHNICITY</t>
  </si>
  <si>
    <t>American Indian, Alaska Native, or Indigenous</t>
  </si>
  <si>
    <t>Asian or Asian American</t>
  </si>
  <si>
    <t>Black, African-American, or African</t>
  </si>
  <si>
    <t>Middle Eastern or North African</t>
  </si>
  <si>
    <t>Native Hawaiian or Pacific Islander</t>
  </si>
  <si>
    <t>White</t>
  </si>
  <si>
    <t>CHRONIC POPULATION</t>
  </si>
  <si>
    <t>Number of Chronic HOUSEHOLDS</t>
  </si>
  <si>
    <t>Number of PERSONS in Chronic Households</t>
  </si>
  <si>
    <t>Section 2:  Veterans and Veteran Household Population</t>
  </si>
  <si>
    <r>
      <t xml:space="preserve">Of the </t>
    </r>
    <r>
      <rPr>
        <b/>
        <u/>
        <sz val="11"/>
        <color rgb="FFFF0000"/>
        <rFont val="Calibri"/>
        <family val="2"/>
      </rPr>
      <t>TOTAL PEOPLE</t>
    </r>
    <r>
      <rPr>
        <b/>
        <sz val="11"/>
        <color rgb="FFFF0000"/>
        <rFont val="Calibri"/>
        <family val="2"/>
      </rPr>
      <t xml:space="preserve"> counted in Section 1</t>
    </r>
    <r>
      <rPr>
        <b/>
        <sz val="11"/>
        <color theme="1"/>
        <rFont val="Calibri"/>
        <family val="2"/>
      </rPr>
      <t>, count all who are veterans or household members of veterans.</t>
    </r>
  </si>
  <si>
    <t>(Any group where at least one person is a veteran, over age 18 and at least one person is under 18.)</t>
  </si>
  <si>
    <t>Total number of VETERANS ONLY</t>
  </si>
  <si>
    <r>
      <t>RACE &amp; ETHNICITY -</t>
    </r>
    <r>
      <rPr>
        <b/>
        <sz val="10"/>
        <color rgb="FFFF0000"/>
        <rFont val="Calibri"/>
        <family val="2"/>
      </rPr>
      <t xml:space="preserve"> Veterans Only</t>
    </r>
  </si>
  <si>
    <t>Section 3:  Parenting Youth Household Population</t>
  </si>
  <si>
    <r>
      <rPr>
        <b/>
        <sz val="11"/>
        <color theme="1"/>
        <rFont val="Calibri"/>
        <family val="2"/>
      </rPr>
      <t>Of the</t>
    </r>
    <r>
      <rPr>
        <b/>
        <u/>
        <sz val="11"/>
        <color theme="1"/>
        <rFont val="Calibri"/>
        <family val="2"/>
      </rPr>
      <t xml:space="preserve"> </t>
    </r>
    <r>
      <rPr>
        <b/>
        <u/>
        <sz val="11"/>
        <color rgb="FFFF0000"/>
        <rFont val="Calibri"/>
        <family val="2"/>
      </rPr>
      <t>TOTAL PEOPLE</t>
    </r>
    <r>
      <rPr>
        <b/>
        <sz val="11"/>
        <color rgb="FFFF0000"/>
        <rFont val="Calibri"/>
        <family val="2"/>
      </rPr>
      <t xml:space="preserve"> counted in Section 1</t>
    </r>
    <r>
      <rPr>
        <b/>
        <sz val="11"/>
        <color theme="1"/>
        <rFont val="Calibri"/>
        <family val="2"/>
      </rPr>
      <t>, count all who are parenting youth.</t>
    </r>
  </si>
  <si>
    <t>Parenting Youth Households</t>
  </si>
  <si>
    <t>(Any group where the head of the household is under age 25 and an their dependent child is under 18.)</t>
  </si>
  <si>
    <t>Total Parenting Youth</t>
  </si>
  <si>
    <t>Total Children in Parenting Youth Households</t>
  </si>
  <si>
    <r>
      <rPr>
        <sz val="10"/>
        <color theme="1"/>
        <rFont val="Calibri"/>
        <family val="2"/>
      </rPr>
      <t xml:space="preserve">Number of </t>
    </r>
    <r>
      <rPr>
        <b/>
        <sz val="10"/>
        <color rgb="FFFF0000"/>
        <rFont val="Calibri"/>
        <family val="2"/>
      </rPr>
      <t>Parenting</t>
    </r>
    <r>
      <rPr>
        <sz val="10"/>
        <color theme="1"/>
        <rFont val="Calibri"/>
        <family val="2"/>
      </rPr>
      <t xml:space="preserve"> children</t>
    </r>
    <r>
      <rPr>
        <b/>
        <u/>
        <sz val="11"/>
        <color theme="1"/>
        <rFont val="Calibri"/>
        <family val="2"/>
      </rPr>
      <t xml:space="preserve"> (under age 18)</t>
    </r>
  </si>
  <si>
    <r>
      <rPr>
        <b/>
        <sz val="10"/>
        <color rgb="FFFF0000"/>
        <rFont val="Calibri"/>
        <family val="2"/>
      </rPr>
      <t>Children</t>
    </r>
    <r>
      <rPr>
        <sz val="10"/>
        <color theme="1"/>
        <rFont val="Calibri"/>
        <family val="2"/>
      </rPr>
      <t xml:space="preserve"> in households with parenting youth under age 18</t>
    </r>
  </si>
  <si>
    <r>
      <rPr>
        <sz val="10"/>
        <color theme="1"/>
        <rFont val="Calibri"/>
        <family val="2"/>
      </rPr>
      <t xml:space="preserve">Number of </t>
    </r>
    <r>
      <rPr>
        <b/>
        <sz val="10"/>
        <color rgb="FFFF0000"/>
        <rFont val="Calibri"/>
        <family val="2"/>
      </rPr>
      <t>Parenting</t>
    </r>
    <r>
      <rPr>
        <sz val="10"/>
        <color theme="1"/>
        <rFont val="Calibri"/>
        <family val="2"/>
      </rPr>
      <t xml:space="preserve"> youth</t>
    </r>
    <r>
      <rPr>
        <b/>
        <u/>
        <sz val="11"/>
        <color theme="1"/>
        <rFont val="Calibri"/>
        <family val="2"/>
      </rPr>
      <t xml:space="preserve"> (age 18 to 24)</t>
    </r>
  </si>
  <si>
    <r>
      <rPr>
        <b/>
        <sz val="10"/>
        <color rgb="FFFF0000"/>
        <rFont val="Calibri"/>
        <family val="2"/>
      </rPr>
      <t>Children</t>
    </r>
    <r>
      <rPr>
        <sz val="10"/>
        <color theme="1"/>
        <rFont val="Calibri"/>
        <family val="2"/>
      </rPr>
      <t xml:space="preserve"> in households with parenting youth age 18 to 24</t>
    </r>
  </si>
  <si>
    <r>
      <t xml:space="preserve">RACE &amp; ETHNICITY - </t>
    </r>
    <r>
      <rPr>
        <b/>
        <sz val="10"/>
        <color rgb="FFFF0000"/>
        <rFont val="Calibri"/>
        <family val="2"/>
      </rPr>
      <t>Parents Only</t>
    </r>
  </si>
  <si>
    <t>Section 4: Unaccompanied Youth Household Population</t>
  </si>
  <si>
    <r>
      <rPr>
        <b/>
        <sz val="11"/>
        <color theme="1"/>
        <rFont val="Calibri"/>
        <family val="2"/>
      </rPr>
      <t>Of the</t>
    </r>
    <r>
      <rPr>
        <b/>
        <sz val="11"/>
        <color rgb="FFFF0000"/>
        <rFont val="Calibri"/>
        <family val="2"/>
      </rPr>
      <t xml:space="preserve"> </t>
    </r>
    <r>
      <rPr>
        <b/>
        <u/>
        <sz val="11"/>
        <color rgb="FFFF0000"/>
        <rFont val="Calibri"/>
        <family val="2"/>
      </rPr>
      <t>TOTAL PEOPLE</t>
    </r>
    <r>
      <rPr>
        <b/>
        <sz val="11"/>
        <color rgb="FFFF0000"/>
        <rFont val="Calibri"/>
        <family val="2"/>
      </rPr>
      <t xml:space="preserve"> counted in Section 1</t>
    </r>
    <r>
      <rPr>
        <b/>
        <sz val="11"/>
        <color theme="1"/>
        <rFont val="Calibri"/>
        <family val="2"/>
      </rPr>
      <t>, count all who are unaccompanied youth.</t>
    </r>
  </si>
  <si>
    <t>Unaccompanied Youth Households</t>
  </si>
  <si>
    <t>(Any group where all members are under age 25 and there are no dependent children.)</t>
  </si>
  <si>
    <r>
      <rPr>
        <sz val="10"/>
        <color theme="1"/>
        <rFont val="Calibri"/>
        <family val="2"/>
      </rPr>
      <t xml:space="preserve">Number of </t>
    </r>
    <r>
      <rPr>
        <b/>
        <sz val="10"/>
        <color rgb="FFFF0000"/>
        <rFont val="Calibri"/>
        <family val="2"/>
      </rPr>
      <t>Unaccompanied</t>
    </r>
    <r>
      <rPr>
        <sz val="10"/>
        <color theme="1"/>
        <rFont val="Calibri"/>
        <family val="2"/>
      </rPr>
      <t xml:space="preserve"> children </t>
    </r>
    <r>
      <rPr>
        <b/>
        <sz val="10"/>
        <color theme="1"/>
        <rFont val="Calibri"/>
        <family val="2"/>
      </rPr>
      <t>(under age 18)</t>
    </r>
  </si>
  <si>
    <r>
      <rPr>
        <sz val="10"/>
        <color theme="1"/>
        <rFont val="Calibri"/>
        <family val="2"/>
      </rPr>
      <t xml:space="preserve">Number of </t>
    </r>
    <r>
      <rPr>
        <b/>
        <sz val="10"/>
        <color rgb="FFFF0000"/>
        <rFont val="Calibri"/>
        <family val="2"/>
      </rPr>
      <t>Unaccompanied</t>
    </r>
    <r>
      <rPr>
        <sz val="10"/>
        <color theme="1"/>
        <rFont val="Calibri"/>
        <family val="2"/>
      </rPr>
      <t xml:space="preserve"> youth </t>
    </r>
    <r>
      <rPr>
        <b/>
        <u/>
        <sz val="10"/>
        <color theme="1"/>
        <rFont val="Calibri"/>
        <family val="2"/>
      </rPr>
      <t>(age 18 to 24)</t>
    </r>
  </si>
  <si>
    <t>Section 5:  Homeless Subpopulations</t>
  </si>
  <si>
    <r>
      <rPr>
        <b/>
        <sz val="11"/>
        <color theme="1"/>
        <rFont val="Calibri"/>
        <family val="2"/>
      </rPr>
      <t>Of the</t>
    </r>
    <r>
      <rPr>
        <b/>
        <sz val="11"/>
        <color rgb="FFFF0000"/>
        <rFont val="Calibri"/>
        <family val="2"/>
      </rPr>
      <t xml:space="preserve"> </t>
    </r>
    <r>
      <rPr>
        <b/>
        <u/>
        <sz val="11"/>
        <color rgb="FFFF0000"/>
        <rFont val="Calibri"/>
        <family val="2"/>
      </rPr>
      <t xml:space="preserve">TOTAL ADULTS </t>
    </r>
    <r>
      <rPr>
        <b/>
        <sz val="11"/>
        <color rgb="FFFF0000"/>
        <rFont val="Calibri"/>
        <family val="2"/>
      </rPr>
      <t>counted in Section 1</t>
    </r>
    <r>
      <rPr>
        <b/>
        <sz val="11"/>
        <color theme="1"/>
        <rFont val="Calibri"/>
        <family val="2"/>
      </rPr>
      <t>, how many have the following characteristics:</t>
    </r>
  </si>
  <si>
    <t>Adults In Any Household Type</t>
  </si>
  <si>
    <t>Adults with a Serious Mental Illness</t>
  </si>
  <si>
    <t>Adults with a Substance Use Disorder</t>
  </si>
  <si>
    <t>Adults with HIV/AIDS</t>
  </si>
  <si>
    <t>Adults who are Currently Fleeing Domestic Violence</t>
  </si>
  <si>
    <t>Section 6:  Current County &amp; Last Permanent County</t>
  </si>
  <si>
    <t>(Balance of State Providers only)</t>
  </si>
  <si>
    <t>Current County</t>
  </si>
  <si>
    <r>
      <rPr>
        <b/>
        <sz val="11"/>
        <color theme="1"/>
        <rFont val="Calibri"/>
        <family val="2"/>
      </rPr>
      <t>Of the</t>
    </r>
    <r>
      <rPr>
        <b/>
        <sz val="11"/>
        <color rgb="FFFF0000"/>
        <rFont val="Calibri"/>
        <family val="2"/>
      </rPr>
      <t xml:space="preserve"> </t>
    </r>
    <r>
      <rPr>
        <b/>
        <u/>
        <sz val="11"/>
        <color rgb="FFFF0000"/>
        <rFont val="Calibri"/>
        <family val="2"/>
      </rPr>
      <t xml:space="preserve">TOTAL PEOPLE </t>
    </r>
    <r>
      <rPr>
        <b/>
        <sz val="11"/>
        <color rgb="FFFF0000"/>
        <rFont val="Calibri"/>
        <family val="2"/>
      </rPr>
      <t>counted in Section 1</t>
    </r>
    <r>
      <rPr>
        <b/>
        <sz val="11"/>
        <color theme="1"/>
        <rFont val="Calibri"/>
        <family val="2"/>
      </rPr>
      <t xml:space="preserve">, how many are </t>
    </r>
    <r>
      <rPr>
        <b/>
        <u/>
        <sz val="11"/>
        <color theme="1"/>
        <rFont val="Calibri"/>
        <family val="2"/>
      </rPr>
      <t xml:space="preserve">currently </t>
    </r>
    <r>
      <rPr>
        <b/>
        <sz val="11"/>
        <color theme="1"/>
        <rFont val="Calibri"/>
        <family val="2"/>
      </rPr>
      <t xml:space="preserve">sheltered in each county? </t>
    </r>
  </si>
  <si>
    <t>County Name</t>
  </si>
  <si>
    <t>Number of Persons</t>
  </si>
  <si>
    <t xml:space="preserve">County 1: </t>
  </si>
  <si>
    <t xml:space="preserve">County 2: </t>
  </si>
  <si>
    <t xml:space="preserve">County 3: </t>
  </si>
  <si>
    <t xml:space="preserve">County 4: </t>
  </si>
  <si>
    <t xml:space="preserve">County 5: </t>
  </si>
  <si>
    <t xml:space="preserve">County 6: </t>
  </si>
  <si>
    <t xml:space="preserve">County 7: </t>
  </si>
  <si>
    <t xml:space="preserve">County 8: </t>
  </si>
  <si>
    <t xml:space="preserve">County 9: </t>
  </si>
  <si>
    <t xml:space="preserve">County 10: </t>
  </si>
  <si>
    <t>County of Last Permanent Address</t>
  </si>
  <si>
    <r>
      <rPr>
        <b/>
        <sz val="11"/>
        <color theme="1"/>
        <rFont val="Calibri"/>
        <family val="2"/>
      </rPr>
      <t>Of the</t>
    </r>
    <r>
      <rPr>
        <b/>
        <sz val="11"/>
        <color rgb="FFFF0000"/>
        <rFont val="Calibri"/>
        <family val="2"/>
      </rPr>
      <t xml:space="preserve"> </t>
    </r>
    <r>
      <rPr>
        <b/>
        <u/>
        <sz val="11"/>
        <color rgb="FFFF0000"/>
        <rFont val="Calibri"/>
        <family val="2"/>
      </rPr>
      <t xml:space="preserve">TOTAL PEOPLE </t>
    </r>
    <r>
      <rPr>
        <b/>
        <sz val="11"/>
        <color rgb="FFFF0000"/>
        <rFont val="Calibri"/>
        <family val="2"/>
      </rPr>
      <t>counted in Section 1</t>
    </r>
    <r>
      <rPr>
        <b/>
        <sz val="11"/>
        <color theme="1"/>
        <rFont val="Calibri"/>
        <family val="2"/>
      </rPr>
      <t xml:space="preserve">, how many were last permanently housed in each county? </t>
    </r>
  </si>
  <si>
    <t xml:space="preserve">County 11: </t>
  </si>
  <si>
    <t xml:space="preserve">County 12: </t>
  </si>
  <si>
    <t xml:space="preserve">County 13: </t>
  </si>
  <si>
    <t xml:space="preserve">County 14: </t>
  </si>
  <si>
    <t xml:space="preserve">County 15: </t>
  </si>
  <si>
    <t xml:space="preserve">County 16: </t>
  </si>
  <si>
    <t xml:space="preserve">County 17: </t>
  </si>
  <si>
    <t xml:space="preserve">County 18: </t>
  </si>
  <si>
    <t xml:space="preserve">County 19: </t>
  </si>
  <si>
    <t xml:space="preserve">County 20: </t>
  </si>
  <si>
    <t>Section 7:  Chronicity by Race</t>
  </si>
  <si>
    <t>(St. Louis City Providers Only)</t>
  </si>
  <si>
    <r>
      <rPr>
        <b/>
        <sz val="11"/>
        <color theme="1"/>
        <rFont val="Calibri"/>
        <family val="2"/>
      </rPr>
      <t xml:space="preserve">Of the </t>
    </r>
    <r>
      <rPr>
        <b/>
        <u/>
        <sz val="11"/>
        <color rgb="FFFF0000"/>
        <rFont val="Calibri"/>
        <family val="2"/>
      </rPr>
      <t>TOTAL PEOPLE</t>
    </r>
    <r>
      <rPr>
        <b/>
        <sz val="11"/>
        <color rgb="FFFF0000"/>
        <rFont val="Calibri"/>
        <family val="2"/>
      </rPr>
      <t xml:space="preserve"> counted in Section 1</t>
    </r>
    <r>
      <rPr>
        <b/>
        <sz val="11"/>
        <color theme="1"/>
        <rFont val="Calibri"/>
        <family val="2"/>
      </rPr>
      <t>, count all who are chronically homeless.</t>
    </r>
  </si>
  <si>
    <t>Chronic Population (Number of Persons in Chronic Households)</t>
  </si>
  <si>
    <t>BoS Regions</t>
  </si>
  <si>
    <t>All Regions</t>
  </si>
  <si>
    <t>Agency</t>
  </si>
  <si>
    <t>Project</t>
  </si>
  <si>
    <t>County</t>
  </si>
  <si>
    <t>Region</t>
  </si>
  <si>
    <t>Select</t>
  </si>
  <si>
    <t xml:space="preserve">Select </t>
  </si>
  <si>
    <t>Adair</t>
  </si>
  <si>
    <t>Emergency Shelter</t>
  </si>
  <si>
    <t>MO-500 St. Louis County</t>
  </si>
  <si>
    <t>ACCIS (Audrain County Crisis Intervention Services, Inc.)(988)</t>
  </si>
  <si>
    <t>ACCIS - McCamey House ES [Non-HMIS/DV](1058)</t>
  </si>
  <si>
    <t>Atchison</t>
  </si>
  <si>
    <t>Andrew</t>
  </si>
  <si>
    <t>NA</t>
  </si>
  <si>
    <t>Transitional Housing</t>
  </si>
  <si>
    <t>MO-501 St. Louis City</t>
  </si>
  <si>
    <t>Agape House, Inc. of Mountain View(706)</t>
  </si>
  <si>
    <t>Agape House of Mountain View - Emergency Shelter [Non-HMIS/DV](707)</t>
  </si>
  <si>
    <t>Audrain</t>
  </si>
  <si>
    <t>Safe Haven</t>
  </si>
  <si>
    <t>MO-600 Springfield/Greene, Christian, Webster Counties</t>
  </si>
  <si>
    <t>Asbury United Methodist Church(1818)</t>
  </si>
  <si>
    <t>Agape House of Mountain View - Texas County Emergency Shelter [Non-HMIS/DV](769)</t>
  </si>
  <si>
    <t>MO-602 Joplin/Jasper, Newton Counties</t>
  </si>
  <si>
    <t>MO-603 St. Joseph/Andrew, Buchanan, DeKalb Counties</t>
  </si>
  <si>
    <t>AVENUES(989)</t>
  </si>
  <si>
    <t>Bates</t>
  </si>
  <si>
    <t>MO-606 MO Balance of State</t>
  </si>
  <si>
    <t>Benton</t>
  </si>
  <si>
    <t>Bollinger</t>
  </si>
  <si>
    <t>C.A.R.E. of Atchison County Inc (Community Advocacy &amp; Resource Empowerment of Atchison County, Inc.)(991)</t>
  </si>
  <si>
    <t>Boone</t>
  </si>
  <si>
    <t>CADV (Citizens Against Domestic Violence, Inc)(993)</t>
  </si>
  <si>
    <t>Butler</t>
  </si>
  <si>
    <t>CARDV (Coalition Against Rape and Domestic Violence of Callaway County)(1269)</t>
  </si>
  <si>
    <t>Avenues - ESG Emergency Shelter [Non-HMIS/DV](1057)</t>
  </si>
  <si>
    <t>Caldwell</t>
  </si>
  <si>
    <t>Buchanan</t>
  </si>
  <si>
    <t>Carthage Crisis Center(690)</t>
  </si>
  <si>
    <t>Avenues - ESG Hotel/Motel ES [Non-HMIS/DV](2057)</t>
  </si>
  <si>
    <t>Callaway</t>
  </si>
  <si>
    <t>CASA (Citizens Against Spouse Abuse, Inc.)(994)</t>
  </si>
  <si>
    <t>Camden</t>
  </si>
  <si>
    <t>CATRL (Christian Associates of Table Rock Lake)(480)</t>
  </si>
  <si>
    <t>Cape Girardeau</t>
  </si>
  <si>
    <t>CCSOMO (Catholic Charities of Southern Missouri, Inc.)(70)</t>
  </si>
  <si>
    <t>Carroll</t>
  </si>
  <si>
    <t>Carter</t>
  </si>
  <si>
    <t>C.A.R.E. of Atchison County - Emergency Shelter [Non-HMIS/DV](1055)</t>
  </si>
  <si>
    <t>Cass</t>
  </si>
  <si>
    <t>Christos House Inc.(1196)</t>
  </si>
  <si>
    <t>CADV - Emergency Shelter [Non-HMIS/DV](1053)</t>
  </si>
  <si>
    <t>Cedar</t>
  </si>
  <si>
    <t>CADV - Transistional Housing [Non-HMIS/DV](1847)</t>
  </si>
  <si>
    <t>Chariton</t>
  </si>
  <si>
    <t>COPE(720)</t>
  </si>
  <si>
    <t>Clark</t>
  </si>
  <si>
    <t>Council On Families In Crisis, Inc.(682)</t>
  </si>
  <si>
    <t>Carthage Crisis Center - Transitional Housing [Non-HMIS](698)</t>
  </si>
  <si>
    <t>Clay</t>
  </si>
  <si>
    <t>CPO (Community Partnership of the Ozarks, Inc.)(179)</t>
  </si>
  <si>
    <t>CASA - ESG Emergency Shelter Pettis County[Non-HMIS/DV](1061)</t>
  </si>
  <si>
    <t>Clinton</t>
  </si>
  <si>
    <t>Christian</t>
  </si>
  <si>
    <t>DAEOC (Delta Area Economic Opportunity Corporation)(412)</t>
  </si>
  <si>
    <t>Cole</t>
  </si>
  <si>
    <t>CATRL - Harbor House DV Shelter [Non-HMIS/DV](702)</t>
  </si>
  <si>
    <t>Cooper</t>
  </si>
  <si>
    <t>DOORWAYS (Interfaith Residence)(39)</t>
  </si>
  <si>
    <t>Crawford</t>
  </si>
  <si>
    <t>Dade</t>
  </si>
  <si>
    <t>East Sunshine Church of Christ(766)</t>
  </si>
  <si>
    <t>Dallas</t>
  </si>
  <si>
    <t>Daviess</t>
  </si>
  <si>
    <t>Christos House - Emergency Shelter [Non-HMIS/DV](1197)</t>
  </si>
  <si>
    <t>Dent</t>
  </si>
  <si>
    <t>Douglas</t>
  </si>
  <si>
    <t>Dunklin</t>
  </si>
  <si>
    <t>Franklin</t>
  </si>
  <si>
    <t>DeKalb</t>
  </si>
  <si>
    <t>COPE - Emergency Shelter [Non-HMIS/DV](721)</t>
  </si>
  <si>
    <t>Gasconade</t>
  </si>
  <si>
    <t>Good Samaritan of the Ozarks(996)</t>
  </si>
  <si>
    <t>Gentry</t>
  </si>
  <si>
    <t>Council On Families In Crisis - MossHouse ESG ES [Non-HMIS/DV](683)</t>
  </si>
  <si>
    <t>Grundy</t>
  </si>
  <si>
    <t>Harrison</t>
  </si>
  <si>
    <t>Grace United Methodist Church(1566)</t>
  </si>
  <si>
    <t>Henry</t>
  </si>
  <si>
    <t>Green Hills Women's Shelter, Inc.(1062)</t>
  </si>
  <si>
    <t>Hickory</t>
  </si>
  <si>
    <t>Greene County Family Justice Center(1634)</t>
  </si>
  <si>
    <t>Holt</t>
  </si>
  <si>
    <t>Greene</t>
  </si>
  <si>
    <t>DOORWAYS - Own Home ES [Non-HMIS](547)</t>
  </si>
  <si>
    <t>Howard</t>
  </si>
  <si>
    <t>Harmony House (Family Violence Center, Inc.)(686)</t>
  </si>
  <si>
    <t>Howell</t>
  </si>
  <si>
    <t>East Sunshine - Men's Cold Weather Shelter ES [Non-HMIS](768)</t>
  </si>
  <si>
    <t>Iron</t>
  </si>
  <si>
    <t>Jefferson</t>
  </si>
  <si>
    <t>Haven House, Inc.(998)</t>
  </si>
  <si>
    <t>Johnson</t>
  </si>
  <si>
    <t>Hillcrest Hope(1075)</t>
  </si>
  <si>
    <t>Knox</t>
  </si>
  <si>
    <t>Hillcrest Platte County(1076)</t>
  </si>
  <si>
    <t>Laclede</t>
  </si>
  <si>
    <t>Hope Haven of Cass County(999)</t>
  </si>
  <si>
    <t>Lafayette</t>
  </si>
  <si>
    <t>Horizon Housing (Horizon Housing Development Company)(112)</t>
  </si>
  <si>
    <t>Lawrence</t>
  </si>
  <si>
    <t>Jackson</t>
  </si>
  <si>
    <t>Lewis</t>
  </si>
  <si>
    <t>Jasper</t>
  </si>
  <si>
    <t>House of Hope Inc.(1000)</t>
  </si>
  <si>
    <t>Linn</t>
  </si>
  <si>
    <t>House of Refuge(1001)</t>
  </si>
  <si>
    <t>Good Samaritan of the Ozarks - Genesis ES [Non-HMIS/DV](1051)</t>
  </si>
  <si>
    <t>Livingston</t>
  </si>
  <si>
    <t>Macon</t>
  </si>
  <si>
    <t>Madison</t>
  </si>
  <si>
    <t>Grace United Methodist - Cold Weather Shelter ES [Non-HMIS](1567)</t>
  </si>
  <si>
    <t>Maries</t>
  </si>
  <si>
    <t>Jefferson City Rape and Abuse Crisis Center, Inc (JCRACC)(1002)</t>
  </si>
  <si>
    <t>Green Hills Women's Shelter - Cameron Shelter [Non-HMIS/DV](1064)</t>
  </si>
  <si>
    <t>Marion</t>
  </si>
  <si>
    <t>Jennings School District(857)</t>
  </si>
  <si>
    <t>McDonald</t>
  </si>
  <si>
    <t>Mercer</t>
  </si>
  <si>
    <t>Lincoln</t>
  </si>
  <si>
    <t>Joe's Place (Joe's Place Corporation)(858)</t>
  </si>
  <si>
    <t>Miller</t>
  </si>
  <si>
    <t>Mississippi</t>
  </si>
  <si>
    <t>KVC Behavioral Healthcare Missouri, Inc.(183)</t>
  </si>
  <si>
    <t>Harmony House - ESG Emergency Shelter [Non-HMIS/DV](687)</t>
  </si>
  <si>
    <t>Moniteau</t>
  </si>
  <si>
    <t>Lafayette House (Family Self Help Center Inc.)(693)</t>
  </si>
  <si>
    <t>Monroe</t>
  </si>
  <si>
    <t>Love Columbia(1421)</t>
  </si>
  <si>
    <t>Montgomery</t>
  </si>
  <si>
    <t>Lydia's House, Inc.(538)</t>
  </si>
  <si>
    <t>Haven House - Emergency Shelter [Non-HMIS/DV](1050)</t>
  </si>
  <si>
    <t>Morgan</t>
  </si>
  <si>
    <t>Marygrove (Crisis Center - Marygrove)(456)</t>
  </si>
  <si>
    <t>Hillcrest Hope - Avondale Apartments TH [Non-HMIS](1088)</t>
  </si>
  <si>
    <t>New Madrid</t>
  </si>
  <si>
    <t>Missionaries of Charity, Inc.(534)</t>
  </si>
  <si>
    <t>Hillcrest Hope - Liberty Apartments TH [Non-HMIS](1089)</t>
  </si>
  <si>
    <t>Nodaway</t>
  </si>
  <si>
    <t>Oregon</t>
  </si>
  <si>
    <t>Osage</t>
  </si>
  <si>
    <t>North Star Advocacy Center(992)</t>
  </si>
  <si>
    <t>Ozark</t>
  </si>
  <si>
    <t>Hope Haven of Cass County - ESG Emergency Shelter [Non-HMIS/DV](1048)</t>
  </si>
  <si>
    <t>Pemiscot</t>
  </si>
  <si>
    <t>Our House (Our House: Caring for Callaway's Homeless)(235)</t>
  </si>
  <si>
    <t>Perry</t>
  </si>
  <si>
    <t>Horizon Housing - Shelter Beds [Non-HMIS](1345)</t>
  </si>
  <si>
    <t>Pettis</t>
  </si>
  <si>
    <t>Polk County House of Hope, Inc.(703)</t>
  </si>
  <si>
    <t>House of Hope (Branson) - House of Hope Emergency Warming Shelter [Non-HMIS](1637)</t>
  </si>
  <si>
    <t>Phelps</t>
  </si>
  <si>
    <t>House of Hope Inc - ESG Emergency Shelter [Non-HMIS/DV](1046)</t>
  </si>
  <si>
    <t>Pike</t>
  </si>
  <si>
    <t>Newton</t>
  </si>
  <si>
    <t>Randolph County Ministerial Alliance(1954)</t>
  </si>
  <si>
    <t>Platte</t>
  </si>
  <si>
    <t>House of Refuge - Emergency Shelter [Non-HMIS/DV](1045)</t>
  </si>
  <si>
    <t>Polk</t>
  </si>
  <si>
    <t>RATI (Jefferson City Interfaith Community) Jefferson City(2011)</t>
  </si>
  <si>
    <t>Pulaski</t>
  </si>
  <si>
    <t>Regional Family Crisis Center(1004)</t>
  </si>
  <si>
    <t>Putnam</t>
  </si>
  <si>
    <t>Restoration Life Center(694)</t>
  </si>
  <si>
    <t>Ralls</t>
  </si>
  <si>
    <t>Randolph</t>
  </si>
  <si>
    <t>InExcelsis - Cold Weather ES [Non-HMIS](1980)</t>
  </si>
  <si>
    <t>Ray</t>
  </si>
  <si>
    <t>Safe Passage Domestic Violence Crisis Intervention Services(1005)</t>
  </si>
  <si>
    <t>Jefferson City Rape and Abuse Crisis Center - RACS Shelter [Non-HMIS/DV](1044)</t>
  </si>
  <si>
    <t>Reynolds</t>
  </si>
  <si>
    <t>Saint Vincent de Paul(2050)</t>
  </si>
  <si>
    <t>Jennings School - HOPE House ES [Non-HMIS](861)</t>
  </si>
  <si>
    <t>Ripley</t>
  </si>
  <si>
    <t>Saline</t>
  </si>
  <si>
    <t>Salvation Army Springfield(220)</t>
  </si>
  <si>
    <t>Joe's Place - Transitional Housing for Students in the Maplewood Richmond Heights School [Non-HMIS](862)</t>
  </si>
  <si>
    <t>Schuyler</t>
  </si>
  <si>
    <t>Second Baptist Church(1989)</t>
  </si>
  <si>
    <t>Scotland</t>
  </si>
  <si>
    <t>Selah Place of Oregon County(1626)</t>
  </si>
  <si>
    <t>KVC - VOCA Emergency Shelter (Springfield) [Non-HMIS/DV](1100)</t>
  </si>
  <si>
    <t>Scott</t>
  </si>
  <si>
    <t>SEMO Family Violence Council (Southeast Missouri Family Violence Council)(712)</t>
  </si>
  <si>
    <t>Shannon</t>
  </si>
  <si>
    <t>Shelby</t>
  </si>
  <si>
    <t>St. Clair</t>
  </si>
  <si>
    <t>St. Francis Xavier Catholic Church(668)</t>
  </si>
  <si>
    <t>St. Francois</t>
  </si>
  <si>
    <t>Lydia's House, Inc. - Transitional Housing [Non-HMIS/DV](551)</t>
  </si>
  <si>
    <t>Ste. Genevieve</t>
  </si>
  <si>
    <t>St. Louis County DHS (Saint Louis County Department of Human Services)(459)</t>
  </si>
  <si>
    <t>Stoddard</t>
  </si>
  <si>
    <t>Marygrove - Transitional Housing (scattered) [Non-HMIS](677)</t>
  </si>
  <si>
    <t>Stone</t>
  </si>
  <si>
    <t>St. Martha's Hall(537)</t>
  </si>
  <si>
    <t>Missionaries of Charity, Inc. - Emergency Shelter [Non-HMIS](552)</t>
  </si>
  <si>
    <t>Sullivan</t>
  </si>
  <si>
    <t>Taney</t>
  </si>
  <si>
    <t>Survival Adult Abuse Center Inc.(1006)</t>
  </si>
  <si>
    <t>Texas</t>
  </si>
  <si>
    <t>Susanna Wesley Family Learning Center(1007)</t>
  </si>
  <si>
    <t>North Star Advocacy Center - Emergency Shelter [Non-HMIS/DV](1054)</t>
  </si>
  <si>
    <t>Vernon</t>
  </si>
  <si>
    <t>Washington</t>
  </si>
  <si>
    <t>St. Charles</t>
  </si>
  <si>
    <t>Wayne</t>
  </si>
  <si>
    <t>The Connecting Grounds(1949)</t>
  </si>
  <si>
    <t>Our House - Haven House TH [Non-HMIS*](236)</t>
  </si>
  <si>
    <t>Worth</t>
  </si>
  <si>
    <t>The Gathering Tree, Inc.(1576)</t>
  </si>
  <si>
    <t>Our House - Wiley House ES [Non-HMIS*](237)</t>
  </si>
  <si>
    <t>Wright</t>
  </si>
  <si>
    <t>St. Louis</t>
  </si>
  <si>
    <t>The Kitchen (The Kitchen, Inc.)(46)</t>
  </si>
  <si>
    <t>None of the Above</t>
  </si>
  <si>
    <t>St. Louis City</t>
  </si>
  <si>
    <t>The Women's Safe House(539)</t>
  </si>
  <si>
    <t>Polk County House of Hope ES [Non-HMIS/DV](704)</t>
  </si>
  <si>
    <t>True North of Columbia, Inc.(1010)</t>
  </si>
  <si>
    <t>Polk County House of Hope TH (BoS) [Non-HMIS/DV](1852)</t>
  </si>
  <si>
    <t>United Gospel Rescue Mission, Inc.(311)</t>
  </si>
  <si>
    <t>Unity of Springfield(1820)</t>
  </si>
  <si>
    <t>Randolph County Ministerial Alliance - RATI Cold Weather Shelter [Non-HMIS](1955)</t>
  </si>
  <si>
    <t>Vernon County Ministerial Alliance(1201)</t>
  </si>
  <si>
    <t>RATI (Jefferson City Interfaith Community) - Seasonal Emergency Shelter [Non-HMIS](2012)</t>
  </si>
  <si>
    <t>Warren</t>
  </si>
  <si>
    <t>Watered Gardens Ministries(692)</t>
  </si>
  <si>
    <t>Regional Family Crisis Center - Emergency Shelter [Non-HMIS/DV](1042)</t>
  </si>
  <si>
    <t>WCCTC (Women's Crisis Center of Taney County, Inc.)(1008)</t>
  </si>
  <si>
    <t>Restoration Life Center - Emergency Shelter [Non-HMIS](699)</t>
  </si>
  <si>
    <t>Whole Health Outreach(1011)</t>
  </si>
  <si>
    <t>Sacred Heart - Cold Weather Shelter ES [Non-HMIS](1823)</t>
  </si>
  <si>
    <t>Webster</t>
  </si>
  <si>
    <t>YWCA St. Joseph (Young Women's Christian Association of St. Joseph, Missouri)(1401)</t>
  </si>
  <si>
    <t>Zoe's Home(2001)</t>
  </si>
  <si>
    <t>Outside of MO</t>
  </si>
  <si>
    <t>Safe Passage - Emergency Shelter [Non-HMIS/DV](1041)</t>
  </si>
  <si>
    <t>Client Refused</t>
  </si>
  <si>
    <t>Salvation Army Springfield - Emergency Warming Shelter [Non-HMIS](1194)</t>
  </si>
  <si>
    <t>Second Baptist Church - Hotel/Motel ES [Non-HMIS](1990)</t>
  </si>
  <si>
    <t>Selah Place of Oregon County - Selah Place ES [Non-HMIS/DV](1627)</t>
  </si>
  <si>
    <t>SEMO Family Violence Council - A Friend's Place ES [Non-HMIS/DV](713)</t>
  </si>
  <si>
    <t>St. Francis Xavier Catholic Church - Winter Shelter [Non-HMIS](1161)</t>
  </si>
  <si>
    <t>St. Louis County DHS - Kathy J. Weinman Emergency Shelter [Non-HMIS/DV](651)</t>
  </si>
  <si>
    <t>St. Martha's Hall - HESG/FESG/AHTF Emergency Shelter [Non-HMIS/DV](553)</t>
  </si>
  <si>
    <t>Survival Adult Abuse Center Inc. - ESG Emergency Shelter [Non-HMIS/DV](1040)</t>
  </si>
  <si>
    <t>Susanna Wesley Family Learning Center - ESG Emergency Shelter [Non-HMIS/DV](1038)</t>
  </si>
  <si>
    <t>The Kitchen - SSVF Rapid ReHousing EHA ES [Non-HMIS](1840)</t>
  </si>
  <si>
    <t>True North - Transitional Program [Non-HMIS/DV](1032)</t>
  </si>
  <si>
    <t>Turning Point - Overnight Warming Center [Non-HMIS](1985)</t>
  </si>
  <si>
    <t>United Gospel Rescue Mission - Emergency Shelter [Non-HMIS*](315)</t>
  </si>
  <si>
    <t>United Gospel Rescue Mission - Transitional Housing [Non-HMIS*](314)</t>
  </si>
  <si>
    <t>Unity of Springfield - Cold Weather Shelter ES [Non-HMIS](1821)</t>
  </si>
  <si>
    <t>WCCTC - Women's Crisis Center ES [Non-HMIS/DV](1037)</t>
  </si>
  <si>
    <t>WCCTC - Women's Crisis Center TH [Non-HMIS/DV](1036)</t>
  </si>
  <si>
    <t>Whole Health Outreach - Casa Guadalupe Shelter ES [Non-HMIS/DV](1031)</t>
  </si>
  <si>
    <t>YWCA St. Joseph - Bliss Manor TH [Non-HMIS/DV](1405)</t>
  </si>
  <si>
    <t>YWCA St. Joseph - DV Shelter ESG ES [Non-HMIS/DV](1404)</t>
  </si>
  <si>
    <t>Zoe's Home - Emergency Shelter [Non-HMIS](2002)</t>
  </si>
  <si>
    <t>InExcelsis(1673)</t>
  </si>
  <si>
    <t>CASA - ESG Hotel/Motel ES [Non-HMIS/DV](2238)</t>
  </si>
  <si>
    <t>Harmony House - ESG Hotel/Motel ES [Non-HMIS/DV](2230)</t>
  </si>
  <si>
    <t>Safe House of Southeast Missouri - ESG Emergency Shelter [Non-HMIS/DV](676)</t>
  </si>
  <si>
    <t>Susanna Wesley Family Learning Center - ESG Hotel/Motel ES [Non-HMIS/DV](2227)</t>
  </si>
  <si>
    <t>Connecting Grounds - Medical Respite House ES [Non-HMIS](2109)</t>
  </si>
  <si>
    <t>True North - ESG Hotel/Motel ES [Non-HMIS/DV](2242)</t>
  </si>
  <si>
    <t>Watered Gardens - Gospel Rescue Mission ES [Non-HMIS](701)</t>
  </si>
  <si>
    <t>Welcome Home, Inc.(348)</t>
  </si>
  <si>
    <t xml:space="preserve"> Self-Calculating PIT Excel Workbook (ES/SH/TH)</t>
  </si>
  <si>
    <t>Self-Calculating PIT Excel Workbook (ES/SH/TH)</t>
  </si>
  <si>
    <t>CCSOMO - SSVF Rapid ReHousing (BoS) EHA [Non-HMIS](1835)</t>
  </si>
  <si>
    <t>American Indian, Alaska Native, or Indigenous &amp; Hispanic/Latina/o</t>
  </si>
  <si>
    <t>Asian or Asian American &amp; Hispanic/Latina/o</t>
  </si>
  <si>
    <t>Black, African-American, or African &amp; Hispanic/Latina/o</t>
  </si>
  <si>
    <t>Hispanic/Latina/o</t>
  </si>
  <si>
    <t>Middle Eastern or North African &amp; Hispanic/Latina/o</t>
  </si>
  <si>
    <t>Native Hawaiian or Pacific Islander &amp; Hispanic/Latina/o</t>
  </si>
  <si>
    <t>White &amp; Hispanic/Latina/o</t>
  </si>
  <si>
    <t>Multi-Racial &amp; Hispanic/Latina/o</t>
  </si>
  <si>
    <t>Multi-Racial (not Hispanic/Latina/o)</t>
  </si>
  <si>
    <t>Yes</t>
  </si>
  <si>
    <t>No</t>
  </si>
  <si>
    <t xml:space="preserve">Please select your client's self-identified race &amp; ethnicity from the dropdown list. Only select one response. For clients who identify with more than one race, please select "Multi-Racial" or "Multi-Racial &amp; Hispanic/Latina/o". </t>
  </si>
  <si>
    <t>N/A (Child)</t>
  </si>
  <si>
    <t>Not Answered</t>
  </si>
  <si>
    <t>Column1</t>
  </si>
  <si>
    <t>Household ID for Match</t>
  </si>
  <si>
    <t>Household Type Index</t>
  </si>
  <si>
    <t>Household Type Matches?</t>
  </si>
  <si>
    <t>Household ID Countifs</t>
  </si>
  <si>
    <t>Child of PY Flag</t>
  </si>
  <si>
    <t>Youth Flag</t>
  </si>
  <si>
    <t>Household Size</t>
  </si>
  <si>
    <t>No. Youth in HH</t>
  </si>
  <si>
    <t>Youth Household</t>
  </si>
  <si>
    <t>Is your client 24 years or under and not in the physical custody of a parent or guardian, with anyone over the age of 25, or with their dependent child(ren)?</t>
  </si>
  <si>
    <t>Is your client 24 years and under with their dependent child(ren) in their care, and not with anyone 25 years or older?</t>
  </si>
  <si>
    <t>Children in AC House</t>
  </si>
  <si>
    <t>No. Children in HH</t>
  </si>
  <si>
    <t xml:space="preserve">Answer these questions for any Head of Household or client 18 years or older. </t>
  </si>
  <si>
    <t>Alton First Baptist Church - Cold Weather ES [Non-HMIS](2149)</t>
  </si>
  <si>
    <t>Asbury - Co-Op at The Fairbanks CWS ES [Non-HMIS](1819)</t>
  </si>
  <si>
    <t>Barton County Ministerial Alliance - Hotel/Motel ES [Non-HMIS](2158)</t>
  </si>
  <si>
    <t>Brentwood - Cold Weather Shelter ES [Non-HMIS](1992)</t>
  </si>
  <si>
    <t>Bridge of Hope - Emergency Shelter [Non-HMIS](1892)</t>
  </si>
  <si>
    <t>CARDV - Hotel/Motel ES [Non-HMIS/DV](1270)</t>
  </si>
  <si>
    <t>CCSOMO - SSVF Rapid ReHousing (Joplin) EHA [Non-HMIS](1834)</t>
  </si>
  <si>
    <t>Centenary UMC/Kaleidoscope Center Winter Shelter [Non-HMIS](2296)</t>
  </si>
  <si>
    <t>Compass Health, Inc. - A Safe Place ES [Non-HMIS/DV](2103)</t>
  </si>
  <si>
    <t>Compass Health, Inc. - Mary's House of Hope TH [Non-HMIS/DV](2104)</t>
  </si>
  <si>
    <t>Cornerstone Mission - Cold Weather ES Hotel/Motel [Non-HMIS](2270)</t>
  </si>
  <si>
    <t>CPO - One Door-Hotel/Motel ES [Non-HMIS](764)</t>
  </si>
  <si>
    <t>DAEOC - Hotel/Motel ES [Non-HMIS/DV](1622)</t>
  </si>
  <si>
    <t>First Baptist Church of Clinton - Cold Weather ES [Non-HMIS](2286)</t>
  </si>
  <si>
    <t>Good Shepherd - Maternity Home TH [Non-HMIS](860)</t>
  </si>
  <si>
    <t>Family Justice Center - Hotel/Motel ES [Non-HMIS/DV](1635)</t>
  </si>
  <si>
    <t>HALO - Youth TH [Non-HMIS](1119)</t>
  </si>
  <si>
    <t>Hillcrest Platte County - 90 Day Program TH [Non-HMIS](1090)</t>
  </si>
  <si>
    <t>Hillcrest Platte County - Young Adult Housing TH [Non-HMIS](1208)</t>
  </si>
  <si>
    <t>Hope Haven of Cass County - ESG Hotel/Motel ES [Non-HMIS/DV](2239)</t>
  </si>
  <si>
    <t>Humanitri - Transformational Housing TH [Non-HMIS](942)</t>
  </si>
  <si>
    <t>KVC - VOCA Women's Crisis Center (BoS) [Non-HMIS/DV](2307)</t>
  </si>
  <si>
    <t>Lafayette House - ESG Emergency Shelter [Non-HMIS/DV](697)</t>
  </si>
  <si>
    <t>Lafayette House -ESG Hotel/Motel ES [Non-HMIS/DV](2231)</t>
  </si>
  <si>
    <t>Life's River - Transitional Housing [Non-HMIS](2266)</t>
  </si>
  <si>
    <t>Lily's House - Emergency Shelter [Non-HMIS]*(1825)</t>
  </si>
  <si>
    <t>Love Columbia - Hotel/Motel ES [Non-HMIS](1988)</t>
  </si>
  <si>
    <t>Love Columbia - Love Forward Transitional Housing [Non-HMIS](1661)</t>
  </si>
  <si>
    <t>Marygrove - ZZZ - Crisis Care Emergency Shelter [Non-HMIS](680)</t>
  </si>
  <si>
    <t>Cornerstone Mission(2269)</t>
  </si>
  <si>
    <t>National Ave - Cold Weather Shelter ES(2262)</t>
  </si>
  <si>
    <t>North Star Advocacy Center - Hotel/Motel ES [Non-HMIS/DV](2264)</t>
  </si>
  <si>
    <t>Places for People - Hotel/Motel ES [Non-HMIS](2283)</t>
  </si>
  <si>
    <t>Polk County Cares - Bolivar Cold Weather ES [Non-HMIS](2268)</t>
  </si>
  <si>
    <t>Polk County House of Hope TH (Springfield) [Non-HMIS/DV](2016)</t>
  </si>
  <si>
    <t>Russell House - ESG ES [Non-HMIS/DV](1043)</t>
  </si>
  <si>
    <t>Russell House - ESG Hotel/Motel ES [Non-HMIS/DV](2243)</t>
  </si>
  <si>
    <t>Russell House - TH [Non-HMIS/DV](1554)</t>
  </si>
  <si>
    <t>Saint Vincent de Paul - Warming Center ES Overflow [Non-HMIS](2051)</t>
  </si>
  <si>
    <t>Victory Mission - Emergency Warming Shelter [Non-HMIS](2278)</t>
  </si>
  <si>
    <t>St. Paul UCC - Winter Shelter [Non-HMIS](1574)</t>
  </si>
  <si>
    <t>Synergy Services - Domestic Violence Center ESG ES [Non-HMIS/DV](2309)</t>
  </si>
  <si>
    <t>Synergy Services - Domestic Violence Center Hotel/Motel ES Overflow [Non-HMIS/DV](2308)</t>
  </si>
  <si>
    <t>Synergy Services - DVC Parenting Program ES [Non-HMIS/DV](2311)</t>
  </si>
  <si>
    <t>Connecting Grounds - Transitional Shelter ES [Non-HMIS](2110)</t>
  </si>
  <si>
    <t>The Free Store Ministry - Lebanon Warming Center ES [Non-HMIS](2121)</t>
  </si>
  <si>
    <t>The Gathering Tree - Eden Village 1 CWS ES [Non-HMIS](1953)</t>
  </si>
  <si>
    <t>The Venues - Cold Weather Shelter ES [Non-HMIS](1952)</t>
  </si>
  <si>
    <t>The Women's Safe House - HESG/MESG Emergency Shelter [Non-HMIS/DV](556)</t>
  </si>
  <si>
    <t>True North - ESG Emergency Shelter [Non-HMIS/DV](1034)</t>
  </si>
  <si>
    <t>Vernon County Ministerial Alliance- Hotel/Motel ES [Non-HMIS](1202)</t>
  </si>
  <si>
    <t>Watered Gardens - Washington Family Hope Center TH [Non-HMIS](1623)</t>
  </si>
  <si>
    <t>Welcome Home, Inc. - SSVF Rapid ReHousing EHA [Non-HMIS](2259)</t>
  </si>
  <si>
    <t>Alton First Baptist Church(2148)</t>
  </si>
  <si>
    <t>Barton County Ministerial Alliance(2157)</t>
  </si>
  <si>
    <t>Brentwood Christian Church(1991)</t>
  </si>
  <si>
    <t>Bridge of Hope(1891)</t>
  </si>
  <si>
    <t>Centenary UMC(2295)</t>
  </si>
  <si>
    <t>Compass Health, Inc.(10)</t>
  </si>
  <si>
    <t>First Baptist Church of Clinton(2285)</t>
  </si>
  <si>
    <t>Good Shepherd (Good Shepherd Children &amp; Family Services)(856)</t>
  </si>
  <si>
    <t>HALO (The Halo Foundation: Helping Art Liberate Orphans)(1115)</t>
  </si>
  <si>
    <t>House of Hope (Branson)(1636)</t>
  </si>
  <si>
    <t>Humanitri(114)</t>
  </si>
  <si>
    <t>KVC Behavioral Healthcare Missouri, Inc. [DV/HMIS Prohibited Projects](2305)</t>
  </si>
  <si>
    <t>Life's River(2263)</t>
  </si>
  <si>
    <t>Lily's House(1817)</t>
  </si>
  <si>
    <t>Missouri(1)</t>
  </si>
  <si>
    <t>National Avenue Christian Church(2261)</t>
  </si>
  <si>
    <t>Places for People, Incorporated(8)</t>
  </si>
  <si>
    <t>Polk County Cares(2267)</t>
  </si>
  <si>
    <t>Russell House: Response to Domestic and Sexual Violence(1003)</t>
  </si>
  <si>
    <t>Sacred Heart Catholic Church(1822)</t>
  </si>
  <si>
    <t>Safe House of Southeast Missouri(675)</t>
  </si>
  <si>
    <t>Springfield Victory Mission, Inc.(1122)</t>
  </si>
  <si>
    <t>St. Paul UCC (German Evangelical St. Paul's Congregation of St. Louis)(1573)</t>
  </si>
  <si>
    <t>Synergy Services [DV/HMIS Prohibited Projects](2306)</t>
  </si>
  <si>
    <t>The Free Store Ministry Inc.(2046)</t>
  </si>
  <si>
    <t>(The Venues) Venues Church(1951)</t>
  </si>
  <si>
    <t>Turning Point Day Center(785)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</si>
</sst>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47" x14ac:knownFonts="1">
    <font>
      <sz val="11"/>
      <color theme="1"/>
      <name val="Arial"/>
    </font>
    <font>
      <b/>
      <sz val="18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A5A5A5"/>
      <name val="Calibri"/>
      <family val="2"/>
    </font>
    <font>
      <sz val="11"/>
      <color rgb="FF006100"/>
      <name val="Calibri"/>
      <family val="2"/>
    </font>
    <font>
      <b/>
      <sz val="12"/>
      <color rgb="FFFF0000"/>
      <name val="Calibri"/>
      <family val="2"/>
    </font>
    <font>
      <b/>
      <sz val="8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0"/>
      <color theme="1"/>
      <name val="Webdings"/>
      <family val="1"/>
      <charset val="2"/>
    </font>
    <font>
      <sz val="11"/>
      <color theme="1"/>
      <name val="Webdings"/>
      <family val="1"/>
      <charset val="2"/>
    </font>
    <font>
      <b/>
      <sz val="11"/>
      <color theme="1"/>
      <name val="Webdings"/>
      <family val="1"/>
      <charset val="2"/>
    </font>
    <font>
      <sz val="11"/>
      <color theme="0"/>
      <name val="Webdings"/>
      <family val="1"/>
      <charset val="2"/>
    </font>
    <font>
      <b/>
      <sz val="18"/>
      <color theme="1"/>
      <name val="Webdings"/>
      <family val="1"/>
      <charset val="2"/>
    </font>
    <font>
      <sz val="11"/>
      <color rgb="FFFF0000"/>
      <name val="Webdings"/>
      <family val="1"/>
      <charset val="2"/>
    </font>
    <font>
      <sz val="10"/>
      <color theme="1"/>
      <name val="Webdings"/>
      <family val="1"/>
      <charset val="2"/>
    </font>
    <font>
      <sz val="11"/>
      <color rgb="FF006100"/>
      <name val="Webdings"/>
      <family val="1"/>
      <charset val="2"/>
    </font>
    <font>
      <b/>
      <sz val="8"/>
      <color theme="1"/>
      <name val="Webdings"/>
      <family val="1"/>
      <charset val="2"/>
    </font>
    <font>
      <sz val="9"/>
      <color theme="1"/>
      <name val="Webdings"/>
      <family val="1"/>
      <charset val="2"/>
    </font>
    <font>
      <u/>
      <sz val="11"/>
      <color theme="10"/>
      <name val="Webdings"/>
      <family val="1"/>
      <charset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b/>
      <i/>
      <sz val="11"/>
      <name val="Calibri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6DCE4"/>
        <bgColor rgb="FFD6D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indexed="64"/>
      </bottom>
      <diagonal/>
    </border>
    <border>
      <left style="hair">
        <color rgb="FF000000"/>
      </left>
      <right/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indexed="64"/>
      </bottom>
      <diagonal/>
    </border>
    <border>
      <left style="hair">
        <color rgb="FF000000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000000"/>
      </left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44">
    <xf numFmtId="0" fontId="0" fillId="0" borderId="0" xfId="0"/>
    <xf numFmtId="0" fontId="3" fillId="0" borderId="0" xfId="0" applyFont="1"/>
    <xf numFmtId="0" fontId="8" fillId="0" borderId="0" xfId="0" applyFont="1"/>
    <xf numFmtId="0" fontId="14" fillId="0" borderId="0" xfId="0" applyFont="1"/>
    <xf numFmtId="0" fontId="22" fillId="9" borderId="16" xfId="0" applyFont="1" applyFill="1" applyBorder="1" applyAlignment="1" applyProtection="1">
      <alignment vertical="top"/>
      <protection locked="0"/>
    </xf>
    <xf numFmtId="0" fontId="24" fillId="0" borderId="0" xfId="0" applyFont="1"/>
    <xf numFmtId="0" fontId="25" fillId="0" borderId="0" xfId="0" applyFont="1"/>
    <xf numFmtId="0" fontId="38" fillId="0" borderId="0" xfId="0" applyFont="1"/>
    <xf numFmtId="0" fontId="5" fillId="0" borderId="2" xfId="0" applyFont="1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1" fontId="3" fillId="0" borderId="2" xfId="0" applyNumberFormat="1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4" fillId="3" borderId="6" xfId="0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2" fontId="3" fillId="10" borderId="0" xfId="0" applyNumberFormat="1" applyFont="1" applyFill="1" applyProtection="1">
      <protection locked="0"/>
    </xf>
    <xf numFmtId="0" fontId="3" fillId="10" borderId="0" xfId="0" applyFont="1" applyFill="1" applyProtection="1"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/>
    <xf numFmtId="2" fontId="3" fillId="0" borderId="3" xfId="0" applyNumberFormat="1" applyFont="1" applyBorder="1"/>
    <xf numFmtId="0" fontId="27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27" fillId="0" borderId="0" xfId="0" applyFont="1"/>
    <xf numFmtId="0" fontId="8" fillId="4" borderId="4" xfId="0" applyFont="1" applyFill="1" applyBorder="1" applyAlignment="1">
      <alignment horizontal="center" wrapText="1"/>
    </xf>
    <xf numFmtId="0" fontId="27" fillId="5" borderId="5" xfId="0" applyFont="1" applyFill="1" applyBorder="1" applyAlignment="1">
      <alignment horizontal="center"/>
    </xf>
    <xf numFmtId="44" fontId="4" fillId="4" borderId="6" xfId="0" applyNumberFormat="1" applyFont="1" applyFill="1" applyBorder="1" applyAlignment="1">
      <alignment horizontal="center" vertical="top" wrapText="1"/>
    </xf>
    <xf numFmtId="44" fontId="27" fillId="0" borderId="0" xfId="0" applyNumberFormat="1" applyFont="1" applyAlignment="1">
      <alignment horizontal="center"/>
    </xf>
    <xf numFmtId="44" fontId="27" fillId="5" borderId="5" xfId="0" applyNumberFormat="1" applyFont="1" applyFill="1" applyBorder="1" applyAlignment="1">
      <alignment horizontal="center"/>
    </xf>
    <xf numFmtId="0" fontId="3" fillId="5" borderId="5" xfId="0" applyFont="1" applyFill="1" applyBorder="1"/>
    <xf numFmtId="0" fontId="9" fillId="0" borderId="1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1" fontId="3" fillId="6" borderId="6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8" fillId="5" borderId="5" xfId="0" applyFont="1" applyFill="1" applyBorder="1"/>
    <xf numFmtId="0" fontId="6" fillId="7" borderId="5" xfId="0" applyFont="1" applyFill="1" applyBorder="1"/>
    <xf numFmtId="0" fontId="26" fillId="7" borderId="5" xfId="0" applyFont="1" applyFill="1" applyBorder="1"/>
    <xf numFmtId="0" fontId="4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29" fillId="5" borderId="5" xfId="0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4" fillId="5" borderId="5" xfId="0" applyFont="1" applyFill="1" applyBorder="1"/>
    <xf numFmtId="0" fontId="1" fillId="5" borderId="5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center" wrapText="1"/>
    </xf>
    <xf numFmtId="0" fontId="30" fillId="5" borderId="5" xfId="0" applyFont="1" applyFill="1" applyBorder="1" applyAlignment="1">
      <alignment horizontal="center" wrapText="1"/>
    </xf>
    <xf numFmtId="0" fontId="32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28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26" fillId="5" borderId="5" xfId="0" applyFont="1" applyFill="1" applyBorder="1"/>
    <xf numFmtId="0" fontId="6" fillId="5" borderId="5" xfId="0" applyFont="1" applyFill="1" applyBorder="1"/>
    <xf numFmtId="0" fontId="27" fillId="0" borderId="0" xfId="0" applyFont="1" applyAlignment="1">
      <alignment horizontal="center"/>
    </xf>
    <xf numFmtId="0" fontId="27" fillId="5" borderId="5" xfId="0" applyFont="1" applyFill="1" applyBorder="1"/>
    <xf numFmtId="0" fontId="4" fillId="5" borderId="5" xfId="0" applyFont="1" applyFill="1" applyBorder="1" applyAlignment="1">
      <alignment horizontal="left" wrapText="1"/>
    </xf>
    <xf numFmtId="0" fontId="11" fillId="5" borderId="5" xfId="0" applyFont="1" applyFill="1" applyBorder="1" applyAlignment="1">
      <alignment horizontal="center" wrapText="1"/>
    </xf>
    <xf numFmtId="0" fontId="11" fillId="5" borderId="5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center" vertical="center" wrapText="1"/>
    </xf>
    <xf numFmtId="44" fontId="4" fillId="4" borderId="6" xfId="0" applyNumberFormat="1" applyFont="1" applyFill="1" applyBorder="1" applyAlignment="1">
      <alignment horizontal="center" wrapText="1"/>
    </xf>
    <xf numFmtId="0" fontId="31" fillId="5" borderId="5" xfId="0" applyFont="1" applyFill="1" applyBorder="1" applyAlignment="1">
      <alignment horizontal="center"/>
    </xf>
    <xf numFmtId="0" fontId="28" fillId="5" borderId="5" xfId="0" applyFont="1" applyFill="1" applyBorder="1"/>
    <xf numFmtId="0" fontId="8" fillId="0" borderId="7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30" fillId="5" borderId="5" xfId="0" applyFont="1" applyFill="1" applyBorder="1" applyAlignment="1">
      <alignment horizontal="left" wrapText="1"/>
    </xf>
    <xf numFmtId="0" fontId="30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35" fillId="5" borderId="5" xfId="0" applyFont="1" applyFill="1" applyBorder="1" applyAlignment="1">
      <alignment horizontal="center" vertical="top" wrapText="1"/>
    </xf>
    <xf numFmtId="0" fontId="37" fillId="5" borderId="5" xfId="0" applyFont="1" applyFill="1" applyBorder="1" applyAlignment="1">
      <alignment horizontal="center" wrapText="1"/>
    </xf>
    <xf numFmtId="0" fontId="33" fillId="5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2" fillId="5" borderId="5" xfId="0" applyFont="1" applyFill="1" applyBorder="1"/>
    <xf numFmtId="0" fontId="12" fillId="0" borderId="0" xfId="0" applyFont="1" applyAlignment="1">
      <alignment vertical="center"/>
    </xf>
    <xf numFmtId="0" fontId="9" fillId="0" borderId="0" xfId="0" applyFont="1"/>
    <xf numFmtId="0" fontId="37" fillId="0" borderId="0" xfId="0" applyFont="1"/>
    <xf numFmtId="0" fontId="8" fillId="4" borderId="12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3" fillId="0" borderId="1" xfId="0" applyFont="1" applyBorder="1"/>
    <xf numFmtId="0" fontId="11" fillId="6" borderId="1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top" wrapText="1"/>
    </xf>
    <xf numFmtId="0" fontId="11" fillId="6" borderId="15" xfId="0" applyFont="1" applyFill="1" applyBorder="1"/>
    <xf numFmtId="0" fontId="11" fillId="6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27" fillId="5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23" fillId="0" borderId="0" xfId="1" applyAlignment="1" applyProtection="1">
      <protection locked="0"/>
    </xf>
    <xf numFmtId="0" fontId="23" fillId="0" borderId="19" xfId="1" applyBorder="1" applyAlignment="1" applyProtection="1">
      <alignment vertical="top"/>
      <protection locked="0"/>
    </xf>
    <xf numFmtId="0" fontId="23" fillId="0" borderId="19" xfId="1" applyBorder="1" applyAlignment="1" applyProtection="1">
      <protection locked="0"/>
    </xf>
    <xf numFmtId="0" fontId="21" fillId="0" borderId="5" xfId="0" applyFont="1" applyBorder="1" applyAlignment="1" applyProtection="1">
      <alignment horizontal="left" vertical="top"/>
      <protection locked="0"/>
    </xf>
    <xf numFmtId="2" fontId="22" fillId="10" borderId="0" xfId="0" applyNumberFormat="1" applyFont="1" applyFill="1" applyProtection="1">
      <protection locked="0"/>
    </xf>
    <xf numFmtId="0" fontId="22" fillId="1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2" fillId="0" borderId="5" xfId="0" applyFont="1" applyBorder="1" applyAlignment="1" applyProtection="1">
      <alignment horizontal="center" vertical="top"/>
      <protection locked="0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Protection="1">
      <protection locked="0"/>
    </xf>
    <xf numFmtId="0" fontId="3" fillId="0" borderId="5" xfId="0" applyFont="1" applyBorder="1"/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3" fillId="0" borderId="41" xfId="0" applyFont="1" applyBorder="1" applyProtection="1">
      <protection locked="0"/>
    </xf>
    <xf numFmtId="0" fontId="3" fillId="0" borderId="42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3" fillId="0" borderId="45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5" fillId="11" borderId="2" xfId="0" applyFont="1" applyFill="1" applyBorder="1" applyAlignment="1" applyProtection="1">
      <alignment wrapText="1"/>
      <protection locked="0"/>
    </xf>
    <xf numFmtId="0" fontId="3" fillId="11" borderId="2" xfId="0" applyFont="1" applyFill="1" applyBorder="1" applyProtection="1">
      <protection locked="0"/>
    </xf>
    <xf numFmtId="1" fontId="3" fillId="11" borderId="2" xfId="0" applyNumberFormat="1" applyFont="1" applyFill="1" applyBorder="1" applyProtection="1">
      <protection locked="0"/>
    </xf>
    <xf numFmtId="0" fontId="3" fillId="11" borderId="32" xfId="0" applyFont="1" applyFill="1" applyBorder="1" applyProtection="1">
      <protection locked="0"/>
    </xf>
    <xf numFmtId="0" fontId="3" fillId="11" borderId="33" xfId="0" applyFont="1" applyFill="1" applyBorder="1" applyProtection="1">
      <protection locked="0"/>
    </xf>
    <xf numFmtId="0" fontId="3" fillId="11" borderId="5" xfId="0" applyFont="1" applyFill="1" applyBorder="1"/>
    <xf numFmtId="2" fontId="3" fillId="11" borderId="3" xfId="0" applyNumberFormat="1" applyFont="1" applyFill="1" applyBorder="1"/>
    <xf numFmtId="0" fontId="3" fillId="11" borderId="3" xfId="0" applyFont="1" applyFill="1" applyBorder="1"/>
    <xf numFmtId="0" fontId="0" fillId="11" borderId="0" xfId="0" applyFill="1" applyProtection="1">
      <protection locked="0"/>
    </xf>
    <xf numFmtId="0" fontId="3" fillId="11" borderId="35" xfId="0" applyFont="1" applyFill="1" applyBorder="1" applyProtection="1">
      <protection locked="0"/>
    </xf>
    <xf numFmtId="0" fontId="3" fillId="11" borderId="34" xfId="0" applyFont="1" applyFill="1" applyBorder="1" applyProtection="1">
      <protection locked="0"/>
    </xf>
    <xf numFmtId="0" fontId="3" fillId="11" borderId="3" xfId="0" applyFont="1" applyFill="1" applyBorder="1" applyProtection="1">
      <protection locked="0"/>
    </xf>
    <xf numFmtId="0" fontId="3" fillId="11" borderId="36" xfId="0" applyFont="1" applyFill="1" applyBorder="1" applyProtection="1">
      <protection locked="0"/>
    </xf>
    <xf numFmtId="0" fontId="3" fillId="11" borderId="30" xfId="0" applyFont="1" applyFill="1" applyBorder="1" applyProtection="1">
      <protection locked="0"/>
    </xf>
    <xf numFmtId="0" fontId="3" fillId="11" borderId="29" xfId="0" applyFont="1" applyFill="1" applyBorder="1" applyProtection="1">
      <protection locked="0"/>
    </xf>
    <xf numFmtId="0" fontId="3" fillId="11" borderId="37" xfId="0" applyFont="1" applyFill="1" applyBorder="1" applyProtection="1">
      <protection locked="0"/>
    </xf>
    <xf numFmtId="0" fontId="3" fillId="11" borderId="38" xfId="0" applyFont="1" applyFill="1" applyBorder="1" applyProtection="1">
      <protection locked="0"/>
    </xf>
    <xf numFmtId="0" fontId="3" fillId="11" borderId="31" xfId="0" applyFont="1" applyFill="1" applyBorder="1" applyProtection="1">
      <protection locked="0"/>
    </xf>
    <xf numFmtId="0" fontId="3" fillId="11" borderId="5" xfId="0" applyFont="1" applyFill="1" applyBorder="1" applyProtection="1">
      <protection locked="0"/>
    </xf>
    <xf numFmtId="0" fontId="3" fillId="11" borderId="44" xfId="0" applyFont="1" applyFill="1" applyBorder="1" applyProtection="1">
      <protection locked="0"/>
    </xf>
    <xf numFmtId="0" fontId="3" fillId="11" borderId="45" xfId="0" applyFont="1" applyFill="1" applyBorder="1" applyProtection="1">
      <protection locked="0"/>
    </xf>
    <xf numFmtId="0" fontId="3" fillId="11" borderId="43" xfId="0" applyFont="1" applyFill="1" applyBorder="1" applyProtection="1">
      <protection locked="0"/>
    </xf>
    <xf numFmtId="0" fontId="3" fillId="11" borderId="41" xfId="0" applyFont="1" applyFill="1" applyBorder="1" applyProtection="1">
      <protection locked="0"/>
    </xf>
    <xf numFmtId="0" fontId="3" fillId="12" borderId="2" xfId="0" applyFont="1" applyFill="1" applyBorder="1" applyProtection="1">
      <protection locked="0"/>
    </xf>
    <xf numFmtId="0" fontId="41" fillId="0" borderId="27" xfId="1" applyFont="1" applyBorder="1" applyAlignment="1" applyProtection="1">
      <alignment vertical="top"/>
      <protection locked="0"/>
    </xf>
    <xf numFmtId="0" fontId="41" fillId="0" borderId="16" xfId="1" applyFont="1" applyBorder="1" applyAlignment="1" applyProtection="1">
      <alignment wrapText="1"/>
      <protection locked="0"/>
    </xf>
    <xf numFmtId="0" fontId="41" fillId="0" borderId="22" xfId="1" applyFont="1" applyBorder="1" applyAlignment="1" applyProtection="1">
      <alignment horizontal="center" wrapText="1"/>
      <protection locked="0"/>
    </xf>
    <xf numFmtId="0" fontId="41" fillId="0" borderId="24" xfId="1" applyFont="1" applyBorder="1" applyAlignment="1" applyProtection="1">
      <alignment horizontal="center" wrapText="1"/>
      <protection locked="0"/>
    </xf>
    <xf numFmtId="0" fontId="41" fillId="0" borderId="18" xfId="1" applyFont="1" applyBorder="1" applyAlignment="1" applyProtection="1">
      <alignment horizontal="center" wrapText="1"/>
      <protection locked="0"/>
    </xf>
    <xf numFmtId="0" fontId="41" fillId="0" borderId="26" xfId="0" applyFont="1" applyBorder="1" applyAlignment="1" applyProtection="1">
      <alignment horizontal="center" wrapText="1"/>
      <protection locked="0"/>
    </xf>
    <xf numFmtId="0" fontId="41" fillId="0" borderId="24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11" borderId="2" xfId="0" applyFont="1" applyFill="1" applyBorder="1" applyAlignment="1" applyProtection="1">
      <alignment wrapText="1"/>
      <protection locked="0"/>
    </xf>
    <xf numFmtId="0" fontId="3" fillId="0" borderId="47" xfId="0" applyFont="1" applyBorder="1" applyAlignment="1" applyProtection="1">
      <alignment wrapText="1"/>
      <protection locked="0"/>
    </xf>
    <xf numFmtId="0" fontId="3" fillId="11" borderId="3" xfId="0" applyFont="1" applyFill="1" applyBorder="1" applyAlignment="1" applyProtection="1">
      <alignment wrapText="1"/>
      <protection locked="0"/>
    </xf>
    <xf numFmtId="0" fontId="3" fillId="12" borderId="2" xfId="0" applyFont="1" applyFill="1" applyBorder="1" applyAlignment="1" applyProtection="1">
      <alignment wrapText="1"/>
      <protection locked="0"/>
    </xf>
    <xf numFmtId="0" fontId="23" fillId="0" borderId="0" xfId="1" applyAlignment="1" applyProtection="1">
      <alignment horizontal="left" vertical="top"/>
      <protection locked="0"/>
    </xf>
    <xf numFmtId="0" fontId="21" fillId="0" borderId="24" xfId="0" applyFont="1" applyBorder="1" applyAlignment="1" applyProtection="1">
      <alignment horizontal="left" vertical="top"/>
      <protection locked="0"/>
    </xf>
    <xf numFmtId="0" fontId="23" fillId="0" borderId="24" xfId="1" applyBorder="1" applyAlignment="1" applyProtection="1">
      <protection locked="0"/>
    </xf>
    <xf numFmtId="0" fontId="21" fillId="0" borderId="19" xfId="0" applyFont="1" applyBorder="1" applyAlignment="1" applyProtection="1">
      <alignment horizontal="left" vertical="top"/>
      <protection locked="0"/>
    </xf>
    <xf numFmtId="2" fontId="3" fillId="0" borderId="0" xfId="0" applyNumberFormat="1" applyFont="1"/>
    <xf numFmtId="2" fontId="0" fillId="0" borderId="0" xfId="0" applyNumberFormat="1"/>
    <xf numFmtId="0" fontId="3" fillId="11" borderId="0" xfId="0" applyFont="1" applyFill="1" applyProtection="1">
      <protection locked="0"/>
    </xf>
    <xf numFmtId="0" fontId="3" fillId="11" borderId="48" xfId="0" applyFont="1" applyFill="1" applyBorder="1" applyProtection="1">
      <protection locked="0"/>
    </xf>
    <xf numFmtId="0" fontId="3" fillId="11" borderId="0" xfId="0" applyFont="1" applyFill="1" applyAlignment="1" applyProtection="1">
      <alignment wrapText="1"/>
      <protection locked="0"/>
    </xf>
    <xf numFmtId="2" fontId="0" fillId="11" borderId="0" xfId="0" applyNumberFormat="1" applyFill="1"/>
    <xf numFmtId="2" fontId="3" fillId="11" borderId="0" xfId="0" applyNumberFormat="1" applyFont="1" applyFill="1"/>
    <xf numFmtId="0" fontId="3" fillId="11" borderId="0" xfId="0" applyFont="1" applyFill="1"/>
    <xf numFmtId="0" fontId="3" fillId="11" borderId="49" xfId="0" applyFont="1" applyFill="1" applyBorder="1" applyProtection="1">
      <protection locked="0"/>
    </xf>
    <xf numFmtId="0" fontId="5" fillId="0" borderId="32" xfId="0" applyFont="1" applyBorder="1" applyAlignment="1" applyProtection="1">
      <alignment wrapText="1"/>
      <protection locked="0"/>
    </xf>
    <xf numFmtId="0" fontId="3" fillId="11" borderId="51" xfId="0" applyFont="1" applyFill="1" applyBorder="1" applyProtection="1">
      <protection locked="0"/>
    </xf>
    <xf numFmtId="0" fontId="3" fillId="0" borderId="43" xfId="0" applyFont="1" applyBorder="1" applyProtection="1">
      <protection locked="0"/>
    </xf>
    <xf numFmtId="0" fontId="3" fillId="0" borderId="52" xfId="0" applyFont="1" applyBorder="1" applyProtection="1">
      <protection locked="0"/>
    </xf>
    <xf numFmtId="0" fontId="3" fillId="0" borderId="49" xfId="0" applyFont="1" applyBorder="1" applyProtection="1">
      <protection locked="0"/>
    </xf>
    <xf numFmtId="0" fontId="3" fillId="0" borderId="50" xfId="0" applyFont="1" applyBorder="1" applyProtection="1">
      <protection locked="0"/>
    </xf>
    <xf numFmtId="0" fontId="0" fillId="0" borderId="5" xfId="0" applyBorder="1"/>
    <xf numFmtId="0" fontId="3" fillId="12" borderId="35" xfId="0" applyFont="1" applyFill="1" applyBorder="1" applyProtection="1">
      <protection locked="0"/>
    </xf>
    <xf numFmtId="1" fontId="3" fillId="0" borderId="32" xfId="0" applyNumberFormat="1" applyFont="1" applyBorder="1" applyProtection="1"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3" fillId="0" borderId="53" xfId="0" applyFont="1" applyBorder="1" applyAlignment="1" applyProtection="1">
      <alignment wrapText="1"/>
      <protection locked="0"/>
    </xf>
    <xf numFmtId="0" fontId="3" fillId="0" borderId="53" xfId="0" applyFont="1" applyBorder="1" applyProtection="1">
      <protection locked="0"/>
    </xf>
    <xf numFmtId="0" fontId="3" fillId="11" borderId="54" xfId="0" applyFont="1" applyFill="1" applyBorder="1" applyProtection="1">
      <protection locked="0"/>
    </xf>
    <xf numFmtId="0" fontId="3" fillId="11" borderId="53" xfId="0" applyFont="1" applyFill="1" applyBorder="1" applyAlignment="1" applyProtection="1">
      <alignment wrapText="1"/>
      <protection locked="0"/>
    </xf>
    <xf numFmtId="0" fontId="3" fillId="11" borderId="53" xfId="0" applyFont="1" applyFill="1" applyBorder="1" applyProtection="1">
      <protection locked="0"/>
    </xf>
    <xf numFmtId="0" fontId="3" fillId="11" borderId="52" xfId="0" applyFont="1" applyFill="1" applyBorder="1" applyProtection="1">
      <protection locked="0"/>
    </xf>
    <xf numFmtId="0" fontId="3" fillId="11" borderId="55" xfId="0" applyFont="1" applyFill="1" applyBorder="1" applyProtection="1">
      <protection locked="0"/>
    </xf>
    <xf numFmtId="0" fontId="5" fillId="11" borderId="49" xfId="0" applyFont="1" applyFill="1" applyBorder="1" applyProtection="1">
      <protection locked="0"/>
    </xf>
    <xf numFmtId="0" fontId="5" fillId="0" borderId="32" xfId="0" applyFont="1" applyBorder="1" applyProtection="1">
      <protection locked="0"/>
    </xf>
    <xf numFmtId="0" fontId="5" fillId="11" borderId="0" xfId="0" applyFont="1" applyFill="1" applyProtection="1">
      <protection locked="0"/>
    </xf>
    <xf numFmtId="0" fontId="5" fillId="0" borderId="31" xfId="0" applyFont="1" applyBorder="1" applyProtection="1">
      <protection locked="0"/>
    </xf>
    <xf numFmtId="0" fontId="5" fillId="0" borderId="49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45" fillId="0" borderId="0" xfId="1" applyFont="1" applyAlignment="1" applyProtection="1">
      <alignment horizontal="left" vertical="top"/>
      <protection locked="0"/>
    </xf>
    <xf numFmtId="49" fontId="44" fillId="13" borderId="0" xfId="0" applyNumberFormat="1" applyFont="1" applyFill="1" applyAlignment="1">
      <alignment horizontal="left"/>
    </xf>
    <xf numFmtId="49" fontId="44" fillId="14" borderId="0" xfId="0" applyNumberFormat="1" applyFont="1" applyFill="1" applyAlignment="1">
      <alignment horizontal="left"/>
    </xf>
    <xf numFmtId="0" fontId="1" fillId="2" borderId="5" xfId="0" applyFont="1" applyFill="1" applyBorder="1" applyAlignment="1" applyProtection="1">
      <alignment horizontal="left"/>
      <protection locked="0"/>
    </xf>
    <xf numFmtId="0" fontId="23" fillId="0" borderId="0" xfId="1" applyAlignment="1" applyProtection="1">
      <alignment horizontal="left" vertical="top"/>
      <protection locked="0"/>
    </xf>
    <xf numFmtId="0" fontId="21" fillId="0" borderId="21" xfId="0" applyFont="1" applyBorder="1" applyAlignment="1" applyProtection="1">
      <alignment horizontal="left" vertical="top"/>
      <protection locked="0"/>
    </xf>
    <xf numFmtId="0" fontId="21" fillId="0" borderId="20" xfId="0" applyFont="1" applyBorder="1" applyAlignment="1" applyProtection="1">
      <alignment horizontal="left" vertical="top"/>
      <protection locked="0"/>
    </xf>
    <xf numFmtId="0" fontId="22" fillId="9" borderId="16" xfId="0" applyFont="1" applyFill="1" applyBorder="1" applyAlignment="1" applyProtection="1">
      <alignment horizontal="left" vertical="top"/>
      <protection locked="0"/>
    </xf>
    <xf numFmtId="0" fontId="21" fillId="0" borderId="22" xfId="0" applyFont="1" applyBorder="1" applyAlignment="1" applyProtection="1">
      <alignment horizontal="left" vertical="top"/>
      <protection locked="0"/>
    </xf>
    <xf numFmtId="0" fontId="39" fillId="0" borderId="5" xfId="0" applyFont="1" applyBorder="1" applyAlignment="1" applyProtection="1">
      <alignment horizontal="left" vertical="top"/>
      <protection locked="0"/>
    </xf>
    <xf numFmtId="0" fontId="39" fillId="0" borderId="17" xfId="0" applyFont="1" applyBorder="1" applyAlignment="1" applyProtection="1">
      <alignment horizontal="left" vertical="top"/>
      <protection locked="0"/>
    </xf>
    <xf numFmtId="0" fontId="39" fillId="0" borderId="22" xfId="0" applyFont="1" applyBorder="1" applyAlignment="1" applyProtection="1">
      <alignment horizontal="left" vertical="top"/>
      <protection locked="0"/>
    </xf>
    <xf numFmtId="0" fontId="39" fillId="0" borderId="21" xfId="0" applyFont="1" applyBorder="1" applyAlignment="1" applyProtection="1">
      <alignment horizontal="left" vertical="top"/>
      <protection locked="0"/>
    </xf>
    <xf numFmtId="0" fontId="39" fillId="0" borderId="20" xfId="0" applyFont="1" applyBorder="1" applyAlignment="1" applyProtection="1">
      <alignment horizontal="left" vertical="top"/>
      <protection locked="0"/>
    </xf>
    <xf numFmtId="0" fontId="46" fillId="15" borderId="16" xfId="1" applyFont="1" applyFill="1" applyBorder="1" applyAlignment="1" applyProtection="1">
      <alignment horizontal="left" vertical="top"/>
      <protection locked="0"/>
    </xf>
    <xf numFmtId="0" fontId="41" fillId="0" borderId="23" xfId="0" applyFont="1" applyBorder="1" applyAlignment="1" applyProtection="1">
      <alignment horizontal="center" wrapText="1"/>
      <protection locked="0"/>
    </xf>
    <xf numFmtId="0" fontId="41" fillId="0" borderId="25" xfId="0" applyFont="1" applyBorder="1" applyAlignment="1" applyProtection="1">
      <alignment horizontal="center" wrapText="1"/>
      <protection locked="0"/>
    </xf>
    <xf numFmtId="0" fontId="41" fillId="0" borderId="22" xfId="0" applyFont="1" applyBorder="1" applyAlignment="1" applyProtection="1">
      <alignment horizontal="center" wrapText="1"/>
      <protection locked="0"/>
    </xf>
    <xf numFmtId="0" fontId="41" fillId="0" borderId="21" xfId="0" applyFont="1" applyBorder="1" applyAlignment="1" applyProtection="1">
      <alignment horizontal="center" wrapText="1"/>
      <protection locked="0"/>
    </xf>
    <xf numFmtId="0" fontId="41" fillId="0" borderId="20" xfId="0" applyFont="1" applyBorder="1" applyAlignment="1" applyProtection="1">
      <alignment horizontal="center" wrapText="1"/>
      <protection locked="0"/>
    </xf>
    <xf numFmtId="0" fontId="1" fillId="5" borderId="5" xfId="0" applyFont="1" applyFill="1" applyBorder="1" applyAlignment="1">
      <alignment horizontal="left" wrapText="1"/>
    </xf>
    <xf numFmtId="0" fontId="2" fillId="0" borderId="5" xfId="0" applyFont="1" applyBorder="1"/>
    <xf numFmtId="0" fontId="8" fillId="4" borderId="9" xfId="0" applyFont="1" applyFill="1" applyBorder="1" applyAlignment="1">
      <alignment horizontal="left" vertical="top" wrapText="1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6" fillId="7" borderId="5" xfId="0" applyFont="1" applyFill="1" applyBorder="1" applyAlignment="1">
      <alignment horizontal="left"/>
    </xf>
    <xf numFmtId="0" fontId="6" fillId="7" borderId="5" xfId="0" applyFont="1" applyFill="1" applyBorder="1"/>
    <xf numFmtId="0" fontId="1" fillId="5" borderId="13" xfId="0" applyFont="1" applyFill="1" applyBorder="1" applyAlignment="1">
      <alignment horizontal="left" wrapText="1"/>
    </xf>
    <xf numFmtId="0" fontId="8" fillId="4" borderId="15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7" fillId="4" borderId="5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3" fillId="0" borderId="0" xfId="1" applyAlignment="1" applyProtection="1">
      <alignment vertical="top"/>
      <protection locked="0"/>
    </xf>
    <xf numFmtId="0" fontId="23" fillId="0" borderId="0" xfId="1" applyAlignment="1" applyProtection="1">
      <protection locked="0"/>
    </xf>
    <xf numFmtId="0" fontId="3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02"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theme="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</dxf>
    <dxf>
      <font>
        <color rgb="FF00B050"/>
      </font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</dxf>
    <dxf>
      <font>
        <color rgb="FF00B050"/>
      </font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</dxf>
    <dxf>
      <font>
        <color theme="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none"/>
      </fill>
    </dxf>
    <dxf>
      <font>
        <color rgb="FF00B050"/>
      </font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color rgb="FFFF0000"/>
      </font>
      <fill>
        <patternFill patternType="none"/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ont>
        <b/>
        <color rgb="FFFF0000"/>
      </font>
      <fill>
        <patternFill patternType="none"/>
      </fill>
    </dxf>
    <dxf>
      <fill>
        <patternFill patternType="solid">
          <fgColor rgb="FFFFB9B9"/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rgb="FFFFCCCC"/>
          <bgColor rgb="FFFFCCCC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>
          <bgColor theme="7" tint="0.59996337778862885"/>
        </patternFill>
      </fill>
    </dxf>
    <dxf>
      <font>
        <b/>
        <color rgb="FFFF0000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FFCCCC"/>
          <bgColor rgb="FFFFCCCC"/>
        </patternFill>
      </fill>
    </dxf>
    <dxf>
      <font>
        <b/>
        <color rgb="FFFF0000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CC"/>
          <bgColor rgb="FFFFCCCC"/>
        </patternFill>
      </fill>
    </dxf>
    <dxf>
      <font>
        <b/>
        <color rgb="FFFF0000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FFCCCC"/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1" hidden="0"/>
    </dxf>
    <dxf>
      <protection locked="1" hidden="0"/>
    </dxf>
    <dxf>
      <numFmt numFmtId="2" formatCode="0.00"/>
      <protection locked="1" hidden="0"/>
    </dxf>
    <dxf>
      <numFmt numFmtId="2" formatCode="0.00"/>
      <protection locked="1" hidden="0"/>
    </dxf>
    <dxf>
      <font>
        <name val="Calibri"/>
        <family val="2"/>
      </font>
      <numFmt numFmtId="2" formatCode="0.00"/>
      <border diagonalUp="0" diagonalDown="0">
        <left style="hair">
          <color rgb="FF000000"/>
        </left>
        <right/>
        <top/>
        <bottom/>
        <vertical/>
        <horizontal/>
      </border>
      <protection locked="1" hidden="0"/>
    </dxf>
    <dxf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hair">
          <color rgb="FF000000"/>
        </left>
        <right/>
        <top style="hair">
          <color rgb="FF000000"/>
        </top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border outline="0">
        <right style="hair">
          <color rgb="FF000000"/>
        </right>
      </border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Client Level Data-style" pivot="0" count="3" xr9:uid="{00000000-0011-0000-FFFF-FFFF00000000}">
      <tableStyleElement type="headerRow" dxfId="201"/>
      <tableStyleElement type="firstRowStripe" dxfId="200"/>
      <tableStyleElement type="secondRowStripe" dxfId="199"/>
    </tableStyle>
  </tableStyles>
  <colors>
    <mruColors>
      <color rgb="FFFFCCCC"/>
      <color rgb="FFFF9999"/>
      <color rgb="FFF5F5F5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AI207" headerRowDxfId="198" dataDxfId="197" totalsRowDxfId="196">
  <tableColumns count="35">
    <tableColumn id="1" xr3:uid="{00000000-0010-0000-0000-000001000000}" name="Client Identifier" dataDxfId="195">
      <calculatedColumnFormula>COUNTIF($A$1:$A$113,A8)=1</calculatedColumnFormula>
    </tableColumn>
    <tableColumn id="2" xr3:uid="{00000000-0010-0000-0000-000002000000}" name="Household ID" dataDxfId="194"/>
    <tableColumn id="3" xr3:uid="{00000000-0010-0000-0000-000003000000}" name="Household Type (1. Adults &amp; Children, 2. Adults only, 3. Children Only) " dataDxfId="193"/>
    <tableColumn id="4" xr3:uid="{00000000-0010-0000-0000-000004000000}" name="Age" dataDxfId="192"/>
    <tableColumn id="6" xr3:uid="{00000000-0010-0000-0000-000006000000}" name="Race &amp; Ethnicity" dataDxfId="191"/>
    <tableColumn id="9" xr3:uid="{00000000-0010-0000-0000-000009000000}" name="Veteran? (Y/N)" dataDxfId="190"/>
    <tableColumn id="10" xr3:uid="{00000000-0010-0000-0000-00000A000000}" name="Parenting Youth? (Y/N)" dataDxfId="189"/>
    <tableColumn id="11" xr3:uid="{00000000-0010-0000-0000-00000B000000}" name="Child of Parenting Youth? (Y/N)" dataDxfId="188"/>
    <tableColumn id="12" xr3:uid="{00000000-0010-0000-0000-00000C000000}" name="Unaccompanied Youth? (Y/N)" dataDxfId="187"/>
    <tableColumn id="27" xr3:uid="{5BDE871B-0423-4E47-8D47-CDE958D1D319}" name="Chronic Status (Y/N)" dataDxfId="186"/>
    <tableColumn id="13" xr3:uid="{00000000-0010-0000-0000-00000D000000}" name="Adult with a Serious Mental Illness (Y/N)" dataDxfId="185"/>
    <tableColumn id="14" xr3:uid="{00000000-0010-0000-0000-00000E000000}" name="Adult with a Substance Use Disorder (Y/N)" dataDxfId="184"/>
    <tableColumn id="15" xr3:uid="{00000000-0010-0000-0000-00000F000000}" name="Adult with HIV/AIDS (Y/N)" dataDxfId="183"/>
    <tableColumn id="16" xr3:uid="{00000000-0010-0000-0000-000010000000}" name="Fleeing Domestic Violence (Y/N)" dataDxfId="182"/>
    <tableColumn id="17" xr3:uid="{00000000-0010-0000-0000-000011000000}" name="Current County (BoS Only)" dataDxfId="181"/>
    <tableColumn id="18" xr3:uid="{00000000-0010-0000-0000-000012000000}" name="County of Last Permanent Address (BoS Only)" dataDxfId="180"/>
    <tableColumn id="19" xr3:uid="{00000000-0010-0000-0000-000013000000}" name="Unique Household ID Count" dataDxfId="179">
      <calculatedColumnFormula>IF(COUNTIF($B$8:$B8,$B8)=1,1,0)</calculatedColumnFormula>
    </tableColumn>
    <tableColumn id="20" xr3:uid="{00000000-0010-0000-0000-000014000000}" name="Unique Count Sum" dataDxfId="178">
      <calculatedColumnFormula>IFERROR((COUNTIF($A:$A,'Client Level Data'!$A8))/COUNTIF($B:$B,$B8),0)</calculatedColumnFormula>
    </tableColumn>
    <tableColumn id="21" xr3:uid="{00000000-0010-0000-0000-000015000000}" name="Chronic Household Flag" dataDxfId="177">
      <calculatedColumnFormula>IF(SUMIFS($R:$R,$J:$J,"Yes",$B:$B,'Client Level Data'!$B8)&gt;0,"Chronic Flag","")</calculatedColumnFormula>
    </tableColumn>
    <tableColumn id="22" xr3:uid="{00000000-0010-0000-0000-000016000000}" name="Parenting Youth Flag" dataDxfId="176">
      <calculatedColumnFormula>IF(SUMIFS($R:$R,$G:$G,"Yes",$B:$B,'Client Level Data'!$B8)&gt;0,"PY Flag","")</calculatedColumnFormula>
    </tableColumn>
    <tableColumn id="23" xr3:uid="{00000000-0010-0000-0000-000017000000}" name="PY Age Flag" dataDxfId="175">
      <calculatedColumnFormula>IF(SUMIFS($R:$R,$D:$D,"&lt;18",$G:$G,"Yes",$B:$B,'Client Level Data'!$B8)&gt;0,"PY &lt;18",IF(SUMIFS($R:$R,$D:$D,"&gt;17",$D:$D,"&lt;25",$G:$G,"Yes",$B:$B,'Client Level Data'!$B8)&gt;0,"PY &gt;17 &lt;25",""))</calculatedColumnFormula>
    </tableColumn>
    <tableColumn id="24" xr3:uid="{00000000-0010-0000-0000-000018000000}" name="Chronic Check Count" dataDxfId="174">
      <calculatedColumnFormula>IF('Client Level Data'!$K8="Yes",1,0)+IF('Client Level Data'!$L8="Yes",1,0)+IF('Client Level Data'!$M8="Yes",1,0)</calculatedColumnFormula>
    </tableColumn>
    <tableColumn id="25" xr3:uid="{00000000-0010-0000-0000-000019000000}" name="Vet in House Flag" dataDxfId="173">
      <calculatedColumnFormula>IF(SUMIFS($R:$R,$F:$F,"Yes",$B:$B,'Client Level Data'!$B8)&gt;0,"Vet Flag","")</calculatedColumnFormula>
    </tableColumn>
    <tableColumn id="7" xr3:uid="{6E3988AC-7084-4C3F-B8AB-65171CFC7133}" name="Household ID for Match" dataDxfId="172" totalsRowDxfId="171">
      <calculatedColumnFormula>IF(R8&lt;1, B8, "Single")</calculatedColumnFormula>
    </tableColumn>
    <tableColumn id="8" xr3:uid="{881B0266-42FF-4060-B963-D9B7EC4D21BD}" name="Household Type Index" dataDxfId="170" totalsRowDxfId="169">
      <calculatedColumnFormula>IF(X8="Single", "Single", INDEX(C:C, MATCH(X8, B:B, 0)))</calculatedColumnFormula>
    </tableColumn>
    <tableColumn id="26" xr3:uid="{1E0FAF08-4902-40BF-B704-8C4E236E60E4}" name="Household Type Matches?" dataDxfId="168" totalsRowDxfId="167">
      <calculatedColumnFormula>IF(AND(NOT(ISBLANK(C8)), C8=Y8, R8&lt;1), "Yes", IF(Y8="Single", "N/A", "No"))</calculatedColumnFormula>
    </tableColumn>
    <tableColumn id="28" xr3:uid="{258E12D0-8F45-400F-A833-1E84CF9B2884}" name="Household ID Countifs" dataDxfId="166" totalsRowDxfId="165">
      <calculatedColumnFormula>COUNTIFS(X:X, X8, Z:Z, "No")</calculatedColumnFormula>
    </tableColumn>
    <tableColumn id="29" xr3:uid="{C33BBF78-B824-4666-84F3-3FD4D1AA58A7}" name="Child of PY Flag" dataDxfId="164" totalsRowDxfId="163">
      <calculatedColumnFormula>IF(SUMIFS($R:$R,$H:$H,"Yes",$B:$B,'Client Level Data'!$B8)&gt;0,"CPY Flag","")</calculatedColumnFormula>
    </tableColumn>
    <tableColumn id="30" xr3:uid="{364BA690-D4EF-4CE2-9591-188EEA8EB62C}" name="Column1" dataDxfId="162" totalsRowDxfId="161">
      <calculatedColumnFormula>IF(AND(T8="PY Flag",AB8="CPY Flag"),"Yes",IF(AND(T8="",AB8=""),"N/A","No"))</calculatedColumnFormula>
    </tableColumn>
    <tableColumn id="5" xr3:uid="{F371E98B-C97B-4229-813C-6DE63FD57BBC}" name="Household Size" dataDxfId="160">
      <calculatedColumnFormula>COUNTIFS(X:X, X8)</calculatedColumnFormula>
    </tableColumn>
    <tableColumn id="31" xr3:uid="{DA70682E-26AB-404E-83C9-AF2337AF63E9}" name="Youth Flag" dataDxfId="159" totalsRowDxfId="158">
      <calculatedColumnFormula>IF(D8&lt;18,"Child",IF(AND(D8&gt;=18,D8&lt;25),"Youth","Not Youth"))</calculatedColumnFormula>
    </tableColumn>
    <tableColumn id="32" xr3:uid="{592627AE-84C1-4275-B74E-4FDB1CF2A310}" name="No. Youth in HH" dataDxfId="157" totalsRowDxfId="156">
      <calculatedColumnFormula>COUNTIFS(X:X, X8, AE:AE, "Youth")+COUNTIFS(X:X, X8, AE:AE, "Child")</calculatedColumnFormula>
    </tableColumn>
    <tableColumn id="33" xr3:uid="{FD454371-9FC2-4261-8216-CBA1A373B8B4}" name="Youth Household" dataDxfId="155" totalsRowDxfId="154">
      <calculatedColumnFormula>IF(AF8=AD8, "True", "False")</calculatedColumnFormula>
    </tableColumn>
    <tableColumn id="35" xr3:uid="{D0B0197D-F420-4A0F-994A-0B8076E5F5B5}" name="No. Children in HH" dataDxfId="153" totalsRowDxfId="152">
      <calculatedColumnFormula>COUNTIFS(X:X, X8, AE:AE, "Child")</calculatedColumnFormula>
    </tableColumn>
    <tableColumn id="34" xr3:uid="{5D01A605-6859-42F2-A85D-8AC91A2B9727}" name="Children in AC House" dataDxfId="151" totalsRowDxfId="150">
      <calculatedColumnFormula>IF(AND(C8="Adults &amp; Children", AH8&gt;0), "True", IF(OR(C8="Children Only", C8="Adults Only"), "N/A", "False"))</calculatedColumnFormula>
    </tableColumn>
  </tableColumns>
  <tableStyleInfo name="Client Level Dat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camissouri.helpscoutdocs.com/article/1475-self-calculating-pit-excel-workboo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amissouri.helpscoutdocs.com/article/1475-self-calculating-pit-excel-workboo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icamissouri.helpscoutdocs.com/article/1475-self-calculating-pit-excel-workbo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1271-B1D4-45B9-A438-3C7C335402DD}">
  <dimension ref="A1:P10"/>
  <sheetViews>
    <sheetView tabSelected="1" workbookViewId="0">
      <selection activeCell="D5" sqref="D5:J5"/>
    </sheetView>
  </sheetViews>
  <sheetFormatPr defaultRowHeight="14.25" x14ac:dyDescent="0.2"/>
  <sheetData>
    <row r="1" spans="1:16" ht="23.25" x14ac:dyDescent="0.35">
      <c r="A1" s="201" t="s">
        <v>415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6" ht="15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15"/>
      <c r="L2" s="15"/>
      <c r="M2" s="15"/>
      <c r="N2" s="15"/>
      <c r="O2" s="15"/>
      <c r="P2" s="15"/>
    </row>
    <row r="3" spans="1:16" ht="15" x14ac:dyDescent="0.25">
      <c r="A3" s="100"/>
      <c r="B3" s="101"/>
      <c r="C3" s="101"/>
      <c r="D3" s="99"/>
      <c r="E3" s="9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5" x14ac:dyDescent="0.25">
      <c r="A4" s="203" t="s">
        <v>1</v>
      </c>
      <c r="B4" s="203"/>
      <c r="C4" s="204"/>
      <c r="D4" s="205"/>
      <c r="E4" s="205"/>
      <c r="F4" s="205"/>
      <c r="G4" s="205"/>
      <c r="H4" s="205"/>
      <c r="I4" s="205"/>
      <c r="J4" s="205"/>
      <c r="K4" s="15"/>
      <c r="L4" s="15"/>
      <c r="M4" s="15"/>
      <c r="N4" s="15"/>
      <c r="O4" s="15"/>
      <c r="P4" s="15"/>
    </row>
    <row r="5" spans="1:16" ht="15" x14ac:dyDescent="0.25">
      <c r="A5" s="206" t="s">
        <v>2</v>
      </c>
      <c r="B5" s="203"/>
      <c r="C5" s="204"/>
      <c r="D5" s="205"/>
      <c r="E5" s="205"/>
      <c r="F5" s="205"/>
      <c r="G5" s="205"/>
      <c r="H5" s="205"/>
      <c r="I5" s="205"/>
      <c r="J5" s="205"/>
      <c r="K5" s="15"/>
      <c r="L5" s="15"/>
      <c r="M5" s="15"/>
      <c r="N5" s="15"/>
      <c r="O5" s="15"/>
      <c r="P5" s="15"/>
    </row>
    <row r="6" spans="1:16" ht="15" x14ac:dyDescent="0.25">
      <c r="A6" s="207" t="s">
        <v>3</v>
      </c>
      <c r="B6" s="207"/>
      <c r="C6" s="208"/>
      <c r="D6" s="205"/>
      <c r="E6" s="205"/>
      <c r="F6" s="205"/>
      <c r="G6" s="205"/>
      <c r="H6" s="205"/>
      <c r="I6" s="205"/>
      <c r="J6" s="205"/>
      <c r="K6" s="15"/>
      <c r="L6" s="15"/>
      <c r="M6" s="15"/>
      <c r="N6" s="15"/>
      <c r="O6" s="15"/>
      <c r="P6" s="15"/>
    </row>
    <row r="7" spans="1:16" ht="15" x14ac:dyDescent="0.25">
      <c r="A7" s="209" t="s">
        <v>4</v>
      </c>
      <c r="B7" s="210"/>
      <c r="C7" s="211"/>
      <c r="D7" s="205"/>
      <c r="E7" s="205"/>
      <c r="F7" s="205"/>
      <c r="G7" s="205"/>
      <c r="H7" s="205"/>
      <c r="I7" s="205"/>
      <c r="J7" s="205"/>
      <c r="K7" s="15"/>
      <c r="L7" s="15"/>
      <c r="M7" s="15"/>
      <c r="N7" s="15"/>
      <c r="O7" s="15"/>
      <c r="P7" s="15"/>
    </row>
    <row r="8" spans="1:16" ht="15" x14ac:dyDescent="0.25">
      <c r="A8" s="203" t="s">
        <v>5</v>
      </c>
      <c r="B8" s="203"/>
      <c r="C8" s="204"/>
      <c r="D8" s="205"/>
      <c r="E8" s="205"/>
      <c r="F8" s="205"/>
      <c r="G8" s="205"/>
      <c r="H8" s="205"/>
      <c r="I8" s="205"/>
      <c r="J8" s="205"/>
      <c r="K8" s="15"/>
      <c r="L8" s="15"/>
      <c r="M8" s="15"/>
      <c r="N8" s="15"/>
      <c r="O8" s="15"/>
      <c r="P8" s="15"/>
    </row>
    <row r="9" spans="1:16" ht="15" x14ac:dyDescent="0.25">
      <c r="A9" s="203" t="s">
        <v>6</v>
      </c>
      <c r="B9" s="203"/>
      <c r="C9" s="204"/>
      <c r="D9" s="205"/>
      <c r="E9" s="205"/>
      <c r="F9" s="205"/>
      <c r="G9" s="205"/>
      <c r="H9" s="205"/>
      <c r="I9" s="205"/>
      <c r="J9" s="205"/>
      <c r="K9" s="15"/>
      <c r="L9" s="15"/>
      <c r="M9" s="15"/>
      <c r="N9" s="15"/>
      <c r="O9" s="15"/>
      <c r="P9" s="15"/>
    </row>
    <row r="10" spans="1:16" ht="15" x14ac:dyDescent="0.25">
      <c r="A10" s="102"/>
      <c r="B10" s="162"/>
      <c r="C10" s="102"/>
      <c r="D10" s="106"/>
      <c r="E10" s="163"/>
      <c r="F10" s="114"/>
      <c r="G10" s="114"/>
      <c r="H10" s="114"/>
      <c r="I10" s="114"/>
      <c r="J10" s="114"/>
      <c r="K10" s="15"/>
      <c r="L10" s="15"/>
      <c r="M10" s="15"/>
      <c r="N10" s="15"/>
      <c r="O10" s="15"/>
      <c r="P10" s="114"/>
    </row>
  </sheetData>
  <mergeCells count="14">
    <mergeCell ref="A9:C9"/>
    <mergeCell ref="D9:J9"/>
    <mergeCell ref="A6:C6"/>
    <mergeCell ref="D6:J6"/>
    <mergeCell ref="A7:C7"/>
    <mergeCell ref="D7:J7"/>
    <mergeCell ref="A8:C8"/>
    <mergeCell ref="D8:J8"/>
    <mergeCell ref="A1:P1"/>
    <mergeCell ref="A2:J2"/>
    <mergeCell ref="A4:C4"/>
    <mergeCell ref="D4:J4"/>
    <mergeCell ref="A5:C5"/>
    <mergeCell ref="D5:J5"/>
  </mergeCells>
  <conditionalFormatting sqref="A1:A3">
    <cfRule type="duplicateValues" dxfId="149" priority="1"/>
  </conditionalFormatting>
  <dataValidations count="2">
    <dataValidation type="whole" allowBlank="1" showInputMessage="1" showErrorMessage="1" sqref="D3" xr:uid="{678E54CA-C3DF-48E2-A339-B7C9E76B497F}">
      <formula1>1</formula1>
      <formula2>105</formula2>
    </dataValidation>
    <dataValidation type="custom" allowBlank="1" showInputMessage="1" showErrorMessage="1" errorTitle="Duplicate" error="This field requires a unique ID" sqref="A2:A3" xr:uid="{B5ECC9C9-76A5-49C4-BA40-0088B172BE3D}">
      <formula1>COUNTIF($A$13:$A$118,A2)=1</formula1>
    </dataValidation>
  </dataValidations>
  <hyperlinks>
    <hyperlink ref="A2:E2" r:id="rId1" display="A guide on using this workbook is available from the ICA Missouri Knowledge Base. " xr:uid="{7B1F4922-C21F-4633-AA94-996A6355E16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501F0B2-7AE9-4F6F-AEDA-F16DCCB27389}">
          <x14:formula1>
            <xm:f>Lookup!$I$2:$I$8</xm:f>
          </x14:formula1>
          <xm:sqref>D9</xm:sqref>
        </x14:dataValidation>
        <x14:dataValidation type="list" allowBlank="1" showInputMessage="1" showErrorMessage="1" xr:uid="{8C3179AD-14F6-47D1-BCAD-461A699DCEAC}">
          <x14:formula1>
            <xm:f>Lookup!$G$2:$G$5</xm:f>
          </x14:formula1>
          <xm:sqref>D8</xm:sqref>
        </x14:dataValidation>
        <x14:dataValidation type="list" allowBlank="1" showInputMessage="1" showErrorMessage="1" xr:uid="{1F34C227-1077-4739-9B40-2A86A03A9617}">
          <x14:formula1>
            <xm:f>Lookup!$O$2:$O$102</xm:f>
          </x14:formula1>
          <xm:sqref>D4:J4</xm:sqref>
        </x14:dataValidation>
        <x14:dataValidation type="list" allowBlank="1" showInputMessage="1" showErrorMessage="1" xr:uid="{6BA5B256-0966-43D2-BB50-A7667C516D83}">
          <x14:formula1>
            <xm:f>Lookup!$R$2:$R$135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1004"/>
  <sheetViews>
    <sheetView showGridLines="0" zoomScale="88" zoomScaleNormal="85" workbookViewId="0">
      <pane xSplit="3" ySplit="7" topLeftCell="D8" activePane="bottomRight" state="frozen"/>
      <selection activeCell="C10" sqref="C10"/>
      <selection pane="topRight" activeCell="C10" sqref="C10"/>
      <selection pane="bottomLeft" activeCell="C10" sqref="C10"/>
      <selection pane="bottomRight" activeCell="AI1" sqref="Q1:AI1048576"/>
    </sheetView>
  </sheetViews>
  <sheetFormatPr defaultColWidth="12.625" defaultRowHeight="15" customHeight="1" x14ac:dyDescent="0.2"/>
  <cols>
    <col min="1" max="1" width="11" style="12" customWidth="1"/>
    <col min="2" max="2" width="16" style="12" customWidth="1"/>
    <col min="3" max="3" width="14.125" style="12" customWidth="1"/>
    <col min="4" max="4" width="14.75" style="12" customWidth="1"/>
    <col min="5" max="5" width="37.125" style="12" bestFit="1" customWidth="1"/>
    <col min="6" max="6" width="11.625" style="12" customWidth="1"/>
    <col min="7" max="7" width="19.875" style="12" customWidth="1"/>
    <col min="8" max="8" width="16.125" style="12" customWidth="1"/>
    <col min="9" max="9" width="24.75" style="12" customWidth="1"/>
    <col min="10" max="10" width="24.5" style="12" customWidth="1"/>
    <col min="11" max="13" width="12.125" style="12" customWidth="1"/>
    <col min="14" max="14" width="15.625" style="12" customWidth="1"/>
    <col min="15" max="16" width="18.625" style="12" customWidth="1"/>
    <col min="17" max="17" width="8.625" style="12" hidden="1" customWidth="1"/>
    <col min="18" max="21" width="12.125" style="12" hidden="1" customWidth="1"/>
    <col min="22" max="22" width="11.125" style="12" hidden="1" customWidth="1"/>
    <col min="23" max="23" width="7.625" style="12" hidden="1" customWidth="1"/>
    <col min="24" max="35" width="0" style="12" hidden="1" customWidth="1"/>
    <col min="36" max="16384" width="12.625" style="12"/>
  </cols>
  <sheetData>
    <row r="1" spans="1:35" ht="23.25" x14ac:dyDescent="0.35">
      <c r="A1" s="201" t="s">
        <v>415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16"/>
      <c r="R1" s="16"/>
      <c r="S1" s="16"/>
      <c r="T1" s="16"/>
      <c r="U1" s="16"/>
      <c r="V1" s="15"/>
      <c r="W1" s="15"/>
    </row>
    <row r="2" spans="1:35" x14ac:dyDescent="0.2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15"/>
      <c r="L2" s="15"/>
      <c r="M2" s="15"/>
      <c r="N2" s="15"/>
      <c r="O2" s="15"/>
      <c r="P2" s="15"/>
      <c r="Q2" s="17"/>
      <c r="R2" s="17"/>
      <c r="S2" s="17"/>
      <c r="T2" s="17"/>
      <c r="U2" s="17"/>
      <c r="V2" s="18"/>
      <c r="W2" s="18"/>
    </row>
    <row r="3" spans="1:35" x14ac:dyDescent="0.25">
      <c r="A3" s="161"/>
      <c r="B3" s="161"/>
      <c r="C3" s="161"/>
      <c r="D3" s="161"/>
      <c r="E3" s="161"/>
      <c r="F3" s="161"/>
      <c r="G3" s="161"/>
      <c r="H3" s="161"/>
      <c r="J3" s="161"/>
      <c r="K3" s="15"/>
      <c r="L3" s="15"/>
      <c r="M3" s="15"/>
      <c r="N3" s="15"/>
      <c r="O3" s="15"/>
      <c r="P3" s="15"/>
      <c r="Q3" s="17"/>
      <c r="R3" s="17"/>
      <c r="S3" s="17"/>
      <c r="T3" s="17"/>
      <c r="U3" s="17"/>
      <c r="V3" s="18"/>
      <c r="W3" s="18"/>
    </row>
    <row r="4" spans="1:35" ht="15.75" x14ac:dyDescent="0.25">
      <c r="A4" s="212" t="str">
        <f>_xlfn.CONCAT("Project Name: ",(IF(ISBLANK('Project Information'!D4),'Project Information'!D6,'Project Information'!D4))," - ",(IF(ISBLANK('Project Information'!D5),'Project Information'!D7,'Project Information'!D5)))</f>
        <v xml:space="preserve">Project Name:  - </v>
      </c>
      <c r="B4" s="212"/>
      <c r="C4" s="212"/>
      <c r="D4" s="212"/>
      <c r="E4" s="212"/>
      <c r="F4" s="212"/>
      <c r="G4" s="212"/>
      <c r="H4" s="212"/>
      <c r="I4" s="198" t="str">
        <f>IF(ISNUMBER(SEARCH("DV", A4)), "OK", "Not OK")</f>
        <v>Not OK</v>
      </c>
      <c r="J4" s="15"/>
      <c r="K4" s="15"/>
      <c r="L4" s="15"/>
      <c r="M4" s="15"/>
      <c r="N4" s="15"/>
      <c r="O4" s="15"/>
      <c r="P4" s="15"/>
      <c r="Q4" s="17"/>
      <c r="R4" s="17"/>
      <c r="S4" s="17"/>
      <c r="T4" s="17"/>
      <c r="U4" s="17"/>
      <c r="V4" s="18"/>
      <c r="W4" s="18"/>
    </row>
    <row r="5" spans="1:35" x14ac:dyDescent="0.25">
      <c r="A5" s="102"/>
      <c r="B5" s="164"/>
      <c r="C5" s="102"/>
      <c r="D5" s="106"/>
      <c r="E5" s="101"/>
      <c r="F5" s="114"/>
      <c r="G5" s="114"/>
      <c r="H5" s="114"/>
      <c r="I5" s="114"/>
      <c r="J5" s="114"/>
      <c r="K5" s="15"/>
      <c r="L5" s="15"/>
      <c r="M5" s="15"/>
      <c r="N5" s="15"/>
      <c r="O5" s="15"/>
      <c r="P5" s="108"/>
      <c r="Q5" s="17"/>
      <c r="R5" s="17"/>
      <c r="S5" s="17"/>
      <c r="T5" s="17"/>
      <c r="U5" s="17"/>
      <c r="V5" s="18"/>
      <c r="W5" s="18"/>
    </row>
    <row r="6" spans="1:35" s="105" customFormat="1" ht="68.25" customHeight="1" x14ac:dyDescent="0.25">
      <c r="A6" s="149"/>
      <c r="B6" s="150" t="s">
        <v>7</v>
      </c>
      <c r="C6" s="151" t="s">
        <v>8</v>
      </c>
      <c r="D6" s="152" t="s">
        <v>9</v>
      </c>
      <c r="E6" s="153" t="s">
        <v>429</v>
      </c>
      <c r="F6" s="154" t="s">
        <v>10</v>
      </c>
      <c r="G6" s="154" t="s">
        <v>443</v>
      </c>
      <c r="H6" s="154" t="s">
        <v>11</v>
      </c>
      <c r="I6" s="155" t="s">
        <v>442</v>
      </c>
      <c r="J6" s="154" t="s">
        <v>12</v>
      </c>
      <c r="K6" s="215" t="s">
        <v>446</v>
      </c>
      <c r="L6" s="216"/>
      <c r="M6" s="216"/>
      <c r="N6" s="217"/>
      <c r="O6" s="213" t="s">
        <v>13</v>
      </c>
      <c r="P6" s="214"/>
      <c r="Q6" s="103"/>
      <c r="R6" s="103"/>
      <c r="S6" s="103"/>
      <c r="T6" s="103"/>
      <c r="U6" s="103"/>
      <c r="V6" s="104"/>
      <c r="W6" s="104"/>
    </row>
    <row r="7" spans="1:35" ht="76.5" customHeight="1" x14ac:dyDescent="0.2">
      <c r="A7" s="19" t="s">
        <v>14</v>
      </c>
      <c r="B7" s="107" t="s">
        <v>15</v>
      </c>
      <c r="C7" s="107" t="s">
        <v>16</v>
      </c>
      <c r="D7" s="20" t="s">
        <v>17</v>
      </c>
      <c r="E7" s="20" t="s">
        <v>18</v>
      </c>
      <c r="F7" s="20" t="s">
        <v>19</v>
      </c>
      <c r="G7" s="20" t="s">
        <v>20</v>
      </c>
      <c r="H7" s="20" t="s">
        <v>21</v>
      </c>
      <c r="I7" s="20" t="s">
        <v>22</v>
      </c>
      <c r="J7" s="20" t="s">
        <v>23</v>
      </c>
      <c r="K7" s="20" t="s">
        <v>24</v>
      </c>
      <c r="L7" s="20" t="s">
        <v>25</v>
      </c>
      <c r="M7" s="20" t="s">
        <v>26</v>
      </c>
      <c r="N7" s="20" t="s">
        <v>27</v>
      </c>
      <c r="O7" s="20" t="s">
        <v>28</v>
      </c>
      <c r="P7" s="20" t="s">
        <v>29</v>
      </c>
      <c r="Q7" s="13" t="s">
        <v>30</v>
      </c>
      <c r="R7" s="14" t="s">
        <v>31</v>
      </c>
      <c r="S7" s="14" t="s">
        <v>32</v>
      </c>
      <c r="T7" s="14" t="s">
        <v>33</v>
      </c>
      <c r="U7" s="14" t="s">
        <v>34</v>
      </c>
      <c r="V7" s="14" t="s">
        <v>35</v>
      </c>
      <c r="W7" s="13" t="s">
        <v>36</v>
      </c>
      <c r="X7" s="197" t="s">
        <v>433</v>
      </c>
      <c r="Y7" s="197" t="s">
        <v>434</v>
      </c>
      <c r="Z7" s="197" t="s">
        <v>435</v>
      </c>
      <c r="AA7" s="197" t="s">
        <v>436</v>
      </c>
      <c r="AB7" s="196" t="s">
        <v>437</v>
      </c>
      <c r="AC7" s="12" t="s">
        <v>432</v>
      </c>
      <c r="AD7" s="12" t="s">
        <v>439</v>
      </c>
      <c r="AE7" s="12" t="s">
        <v>438</v>
      </c>
      <c r="AF7" s="12" t="s">
        <v>440</v>
      </c>
      <c r="AG7" s="12" t="s">
        <v>441</v>
      </c>
      <c r="AH7" s="196" t="s">
        <v>445</v>
      </c>
      <c r="AI7" s="196" t="s">
        <v>444</v>
      </c>
    </row>
    <row r="8" spans="1:35" s="133" customFormat="1" ht="15" customHeight="1" x14ac:dyDescent="0.25">
      <c r="A8" s="125">
        <v>101</v>
      </c>
      <c r="B8" s="126"/>
      <c r="C8" s="126"/>
      <c r="D8" s="127"/>
      <c r="E8" s="157"/>
      <c r="F8" s="126"/>
      <c r="G8" s="126"/>
      <c r="H8" s="126"/>
      <c r="I8" s="126"/>
      <c r="J8" s="126"/>
      <c r="K8" s="126"/>
      <c r="L8" s="126"/>
      <c r="M8" s="126"/>
      <c r="N8" s="126"/>
      <c r="O8" s="138"/>
      <c r="P8" s="139"/>
      <c r="Q8" s="132">
        <f>IF(COUNTIF($B$8:$B8,$B8)=1,1,0)</f>
        <v>0</v>
      </c>
      <c r="R8" s="131">
        <f>IFERROR((COUNTIF($A:$A,'Client Level Data'!$A8))/COUNTIF($B:$B,$B8),0)</f>
        <v>0</v>
      </c>
      <c r="S8" s="131" t="str">
        <f>IF(SUMIFS($R:$R,$J:$J,"Yes",$B:$B,'Client Level Data'!$B8)&gt;0,"Chronic Flag","")</f>
        <v/>
      </c>
      <c r="T8" s="131" t="str">
        <f>IF(SUMIFS($R:$R,$G:$G,"Yes",$B:$B,'Client Level Data'!$B8)&gt;0,"PY Flag","")</f>
        <v/>
      </c>
      <c r="U8" s="131" t="str">
        <f>IF(SUMIFS($R:$R,$D:$D,"&lt;18",$G:$G,"Yes",$B:$B,'Client Level Data'!$B8)&gt;0,"PY &lt;18",IF(SUMIFS($R:$R,$D:$D,"&gt;17",$D:$D,"&lt;25",$G:$G,"Yes",$B:$B,'Client Level Data'!$B8)&gt;0,"PY &gt;17 &lt;25",""))</f>
        <v/>
      </c>
      <c r="V8" s="131">
        <f>IF('Client Level Data'!$K8="Yes",1,0)+IF('Client Level Data'!$L8="Yes",1,0)+IF('Client Level Data'!$M8="Yes",1,0)</f>
        <v>0</v>
      </c>
      <c r="W8" s="132" t="str">
        <f>IF(SUMIFS($R:$R,$F:$F,"Yes",$B:$B,'Client Level Data'!$B8)&gt;0,"Vet Flag","")</f>
        <v/>
      </c>
      <c r="X8" s="133">
        <f>IF(R8&lt;1, B8, "Single")</f>
        <v>0</v>
      </c>
      <c r="Y8" s="133" t="e">
        <f>IF(X8="Single", "Single", INDEX(C:C, MATCH(X8, B:B, 0)))</f>
        <v>#N/A</v>
      </c>
      <c r="Z8" s="133" t="e">
        <f t="shared" ref="Z8:Z39" si="0">IF(AND(NOT(ISBLANK(C8)), C8=Y8, R8&lt;1), "Yes", IF(Y8="Single", "N/A", "No"))</f>
        <v>#N/A</v>
      </c>
      <c r="AA8" s="133">
        <f>COUNTIFS(X:X, X8, Z:Z, "No")</f>
        <v>0</v>
      </c>
      <c r="AB8" s="133" t="str">
        <f>IF(SUMIFS($R:$R,$H:$H,"Yes",$B:$B,'Client Level Data'!$B8)&gt;0,"CPY Flag","")</f>
        <v/>
      </c>
      <c r="AC8" s="133" t="str">
        <f>IF(AND(T8="PY Flag",AB8="CPY Flag"),"Yes",IF(AND(T8="",AB8=""),"N/A","No"))</f>
        <v>N/A</v>
      </c>
      <c r="AD8" s="133">
        <f>COUNTIFS(X:X, X8)</f>
        <v>200</v>
      </c>
      <c r="AE8" s="133" t="str">
        <f t="shared" ref="AE8:AE39" si="1">IF(D8&lt;18,"Child",IF(AND(D8&gt;=18,D8&lt;25),"Youth","Not Youth"))</f>
        <v>Child</v>
      </c>
      <c r="AF8" s="133">
        <f t="shared" ref="AF8:AF39" si="2">COUNTIFS(X:X, X8, AE:AE, "Youth")+COUNTIFS(X:X, X8, AE:AE, "Child")</f>
        <v>200</v>
      </c>
      <c r="AG8" s="133" t="str">
        <f t="shared" ref="AG8:AG39" si="3">IF(AF8=AD8, "True", "False")</f>
        <v>True</v>
      </c>
      <c r="AH8" s="133">
        <f t="shared" ref="AH8:AH39" si="4">COUNTIFS(X:X, X8, AE:AE, "Child")</f>
        <v>200</v>
      </c>
      <c r="AI8" s="133" t="str">
        <f t="shared" ref="AI8:AI39" si="5">IF(AND(C8="Adults &amp; Children", AH8&gt;0), "True", IF(OR(C8="Children Only", C8="Adults Only"), "N/A", "False"))</f>
        <v>False</v>
      </c>
    </row>
    <row r="9" spans="1:35" x14ac:dyDescent="0.25">
      <c r="A9" s="8">
        <v>102</v>
      </c>
      <c r="B9" s="9"/>
      <c r="C9" s="9"/>
      <c r="D9" s="10"/>
      <c r="E9" s="156"/>
      <c r="F9" s="9"/>
      <c r="G9" s="9"/>
      <c r="H9" s="9"/>
      <c r="I9" s="9"/>
      <c r="J9" s="9"/>
      <c r="K9" s="148"/>
      <c r="L9" s="148"/>
      <c r="M9" s="148"/>
      <c r="N9" s="148"/>
      <c r="O9" s="11"/>
      <c r="P9" s="11"/>
      <c r="Q9" s="21">
        <f>IF(COUNTIF($B$8:$B9,$B9)=1,1,0)</f>
        <v>0</v>
      </c>
      <c r="R9" s="22">
        <f>IFERROR((COUNTIF($A:$A,'Client Level Data'!$A9))/COUNTIF($B:$B,$B9),0)</f>
        <v>0</v>
      </c>
      <c r="S9" s="22" t="str">
        <f>IF(SUMIFS($R:$R,$J:$J,"Yes",$B:$B,'Client Level Data'!$B9)&gt;0,"Chronic Flag","")</f>
        <v/>
      </c>
      <c r="T9" s="22" t="str">
        <f>IF(SUMIFS($R:$R,$G:$G,"Yes",$B:$B,'Client Level Data'!$B9)&gt;0,"PY Flag","")</f>
        <v/>
      </c>
      <c r="U9" s="22" t="str">
        <f>IF(SUMIFS($R:$R,$D:$D,"&lt;18",$G:$G,"Yes",$B:$B,'Client Level Data'!$B9)&gt;0,"PY &lt;18",IF(SUMIFS($R:$R,$D:$D,"&gt;17",$D:$D,"&lt;25",$G:$G,"Yes",$B:$B,'Client Level Data'!$B9)&gt;0,"PY &gt;17 &lt;25",""))</f>
        <v/>
      </c>
      <c r="V9" s="22">
        <f>IF('Client Level Data'!$K9="Yes",1,0)+IF('Client Level Data'!$L9="Yes",1,0)+IF('Client Level Data'!$M9="Yes",1,0)</f>
        <v>0</v>
      </c>
      <c r="W9" s="21" t="str">
        <f>IF(SUMIFS($R:$R,$F:$F,"Yes",$B:$B,'Client Level Data'!$B9)&gt;0,"Vet Flag","")</f>
        <v/>
      </c>
      <c r="X9" s="12">
        <f t="shared" ref="X9:X39" si="6">IF(R9&lt;1, B9, "Single")</f>
        <v>0</v>
      </c>
      <c r="Y9" s="12" t="e">
        <f t="shared" ref="Y9:Y39" si="7">IF(X9="Single", "Single", INDEX(C:C, MATCH(X9, B:B, 0)))</f>
        <v>#N/A</v>
      </c>
      <c r="Z9" s="12" t="e">
        <f t="shared" si="0"/>
        <v>#N/A</v>
      </c>
      <c r="AA9" s="12">
        <f t="shared" ref="AA9:AA39" si="8">COUNTIFS(X:X, X9, Z:Z, "No")</f>
        <v>0</v>
      </c>
      <c r="AB9" s="12" t="str">
        <f>IF(SUMIFS($R:$R,$H:$H,"Yes",$B:$B,'Client Level Data'!$B9)&gt;0,"CPY Flag","")</f>
        <v/>
      </c>
      <c r="AC9" s="12" t="str">
        <f>IF(AND(T9="PY Flag",AB9="CPY Flag"),"Yes",IF(AND(T9="",AB9=""),"N/A","No"))</f>
        <v>N/A</v>
      </c>
      <c r="AD9" s="12">
        <f t="shared" ref="AD9:AD39" si="9">COUNTIFS(X:X, X9)</f>
        <v>200</v>
      </c>
      <c r="AE9" s="12" t="str">
        <f t="shared" si="1"/>
        <v>Child</v>
      </c>
      <c r="AF9" s="12">
        <f t="shared" si="2"/>
        <v>200</v>
      </c>
      <c r="AG9" s="12" t="str">
        <f t="shared" si="3"/>
        <v>True</v>
      </c>
      <c r="AH9" s="12">
        <f t="shared" si="4"/>
        <v>200</v>
      </c>
      <c r="AI9" s="12" t="str">
        <f t="shared" si="5"/>
        <v>False</v>
      </c>
    </row>
    <row r="10" spans="1:35" s="133" customFormat="1" x14ac:dyDescent="0.25">
      <c r="A10" s="125">
        <v>103</v>
      </c>
      <c r="B10" s="126"/>
      <c r="C10" s="126"/>
      <c r="D10" s="127"/>
      <c r="E10" s="157"/>
      <c r="F10" s="126"/>
      <c r="G10" s="126"/>
      <c r="H10" s="126"/>
      <c r="I10" s="126"/>
      <c r="J10" s="126"/>
      <c r="K10" s="126"/>
      <c r="L10" s="126"/>
      <c r="M10" s="126"/>
      <c r="N10" s="126"/>
      <c r="O10" s="128"/>
      <c r="P10" s="129"/>
      <c r="Q10" s="130">
        <f>IF(COUNTIF($B$8:$B10,$B10)=1,1,0)</f>
        <v>0</v>
      </c>
      <c r="R10" s="131">
        <f>IFERROR((COUNTIF($A:$A,'Client Level Data'!$A10))/COUNTIF($B:$B,$B10),0)</f>
        <v>0</v>
      </c>
      <c r="S10" s="131" t="str">
        <f>IF(SUMIFS($R:$R,$J:$J,"Yes",$B:$B,'Client Level Data'!$B10)&gt;0,"Chronic Flag","")</f>
        <v/>
      </c>
      <c r="T10" s="131" t="str">
        <f>IF(SUMIFS($R:$R,$G:$G,"Yes",$B:$B,'Client Level Data'!$B10)&gt;0,"PY Flag","")</f>
        <v/>
      </c>
      <c r="U10" s="131" t="str">
        <f>IF(SUMIFS($R:$R,$D:$D,"&lt;18",$G:$G,"Yes",$B:$B,'Client Level Data'!$B10)&gt;0,"PY &lt;18",IF(SUMIFS($R:$R,$D:$D,"&gt;17",$D:$D,"&lt;25",$G:$G,"Yes",$B:$B,'Client Level Data'!$B10)&gt;0,"PY &gt;17 &lt;25",""))</f>
        <v/>
      </c>
      <c r="V10" s="131">
        <f>IF('Client Level Data'!$K10="Yes",1,0)+IF('Client Level Data'!$L10="Yes",1,0)+IF('Client Level Data'!$M10="Yes",1,0)</f>
        <v>0</v>
      </c>
      <c r="W10" s="132" t="str">
        <f>IF(SUMIFS($R:$R,$F:$F,"Yes",$B:$B,'Client Level Data'!$B10)&gt;0,"Vet Flag","")</f>
        <v/>
      </c>
      <c r="X10" s="133">
        <f t="shared" si="6"/>
        <v>0</v>
      </c>
      <c r="Y10" s="133" t="e">
        <f t="shared" si="7"/>
        <v>#N/A</v>
      </c>
      <c r="Z10" s="133" t="e">
        <f t="shared" si="0"/>
        <v>#N/A</v>
      </c>
      <c r="AA10" s="133">
        <f t="shared" si="8"/>
        <v>0</v>
      </c>
      <c r="AB10" s="133" t="str">
        <f>IF(SUMIFS($R:$R,$H:$H,"Yes",$B:$B,'Client Level Data'!$B10)&gt;0,"CPY Flag","")</f>
        <v/>
      </c>
      <c r="AC10" s="133" t="str">
        <f t="shared" ref="AC10:AC39" si="10">IF(AND(T10="PY Flag",AB10="CPY Flag"),"Yes",IF(AND(T10="",AB10=""),"N/A","No"))</f>
        <v>N/A</v>
      </c>
      <c r="AD10" s="133">
        <f t="shared" si="9"/>
        <v>200</v>
      </c>
      <c r="AE10" s="133" t="str">
        <f t="shared" si="1"/>
        <v>Child</v>
      </c>
      <c r="AF10" s="133">
        <f t="shared" si="2"/>
        <v>200</v>
      </c>
      <c r="AG10" s="133" t="str">
        <f t="shared" si="3"/>
        <v>True</v>
      </c>
      <c r="AH10" s="133">
        <f t="shared" si="4"/>
        <v>200</v>
      </c>
      <c r="AI10" s="133" t="str">
        <f t="shared" si="5"/>
        <v>False</v>
      </c>
    </row>
    <row r="11" spans="1:35" x14ac:dyDescent="0.25">
      <c r="A11" s="8">
        <v>104</v>
      </c>
      <c r="B11" s="9"/>
      <c r="C11" s="9"/>
      <c r="D11" s="10"/>
      <c r="E11" s="156"/>
      <c r="F11" s="9"/>
      <c r="G11" s="9"/>
      <c r="H11" s="9"/>
      <c r="I11" s="9"/>
      <c r="J11" s="9"/>
      <c r="K11" s="148"/>
      <c r="L11" s="148"/>
      <c r="M11" s="148"/>
      <c r="N11" s="148"/>
      <c r="O11" s="11"/>
      <c r="P11" s="11"/>
      <c r="Q11" s="21">
        <f>IF(COUNTIF($B$8:$B11,$B11)=1,1,0)</f>
        <v>0</v>
      </c>
      <c r="R11" s="22">
        <f>IFERROR((COUNTIF($A:$A,'Client Level Data'!$A11))/COUNTIF($B:$B,$B11),0)</f>
        <v>0</v>
      </c>
      <c r="S11" s="22" t="str">
        <f>IF(SUMIFS($R:$R,$J:$J,"Yes",$B:$B,'Client Level Data'!$B11)&gt;0,"Chronic Flag","")</f>
        <v/>
      </c>
      <c r="T11" s="22" t="str">
        <f>IF(SUMIFS($R:$R,$G:$G,"Yes",$B:$B,'Client Level Data'!$B11)&gt;0,"PY Flag","")</f>
        <v/>
      </c>
      <c r="U11" s="22" t="str">
        <f>IF(SUMIFS($R:$R,$D:$D,"&lt;18",$G:$G,"Yes",$B:$B,'Client Level Data'!$B11)&gt;0,"PY &lt;18",IF(SUMIFS($R:$R,$D:$D,"&gt;17",$D:$D,"&lt;25",$G:$G,"Yes",$B:$B,'Client Level Data'!$B11)&gt;0,"PY &gt;17 &lt;25",""))</f>
        <v/>
      </c>
      <c r="V11" s="22">
        <f>IF('Client Level Data'!$K11="Yes",1,0)+IF('Client Level Data'!$L11="Yes",1,0)+IF('Client Level Data'!$M11="Yes",1,0)</f>
        <v>0</v>
      </c>
      <c r="W11" s="21" t="str">
        <f>IF(SUMIFS($R:$R,$F:$F,"Yes",$B:$B,'Client Level Data'!$B11)&gt;0,"Vet Flag","")</f>
        <v/>
      </c>
      <c r="X11" s="12">
        <f t="shared" si="6"/>
        <v>0</v>
      </c>
      <c r="Y11" s="12" t="e">
        <f>IF(X11="Single", "Single", INDEX(C:C, MATCH(X11, B:B, 0)))</f>
        <v>#N/A</v>
      </c>
      <c r="Z11" s="12" t="e">
        <f t="shared" si="0"/>
        <v>#N/A</v>
      </c>
      <c r="AA11" s="12">
        <f t="shared" si="8"/>
        <v>0</v>
      </c>
      <c r="AB11" s="12" t="str">
        <f>IF(SUMIFS($R:$R,$H:$H,"Yes",$B:$B,'Client Level Data'!$B11)&gt;0,"CPY Flag","")</f>
        <v/>
      </c>
      <c r="AC11" s="12" t="str">
        <f t="shared" si="10"/>
        <v>N/A</v>
      </c>
      <c r="AD11" s="12">
        <f t="shared" si="9"/>
        <v>200</v>
      </c>
      <c r="AE11" s="12" t="str">
        <f t="shared" si="1"/>
        <v>Child</v>
      </c>
      <c r="AF11" s="12">
        <f t="shared" si="2"/>
        <v>200</v>
      </c>
      <c r="AG11" s="12" t="str">
        <f t="shared" si="3"/>
        <v>True</v>
      </c>
      <c r="AH11" s="12">
        <f t="shared" si="4"/>
        <v>200</v>
      </c>
      <c r="AI11" s="12" t="str">
        <f t="shared" si="5"/>
        <v>False</v>
      </c>
    </row>
    <row r="12" spans="1:35" s="133" customFormat="1" x14ac:dyDescent="0.25">
      <c r="A12" s="125">
        <v>105</v>
      </c>
      <c r="B12" s="126"/>
      <c r="C12" s="126"/>
      <c r="D12" s="127"/>
      <c r="E12" s="157"/>
      <c r="F12" s="126"/>
      <c r="G12" s="126"/>
      <c r="H12" s="126"/>
      <c r="I12" s="126"/>
      <c r="J12" s="126"/>
      <c r="K12" s="126"/>
      <c r="L12" s="126"/>
      <c r="M12" s="126"/>
      <c r="N12" s="126"/>
      <c r="O12" s="128"/>
      <c r="P12" s="142"/>
      <c r="Q12" s="130">
        <f>IF(COUNTIF($B$8:$B12,$B12)=1,1,0)</f>
        <v>0</v>
      </c>
      <c r="R12" s="131">
        <f>IFERROR((COUNTIF($A:$A,'Client Level Data'!$A12))/COUNTIF($B:$B,$B12),0)</f>
        <v>0</v>
      </c>
      <c r="S12" s="131" t="str">
        <f>IF(SUMIFS($R:$R,$J:$J,"Yes",$B:$B,'Client Level Data'!$B12)&gt;0,"Chronic Flag","")</f>
        <v/>
      </c>
      <c r="T12" s="131" t="str">
        <f>IF(SUMIFS($R:$R,$G:$G,"Yes",$B:$B,'Client Level Data'!$B12)&gt;0,"PY Flag","")</f>
        <v/>
      </c>
      <c r="U12" s="131" t="str">
        <f>IF(SUMIFS($R:$R,$D:$D,"&lt;18",$G:$G,"Yes",$B:$B,'Client Level Data'!$B12)&gt;0,"PY &lt;18",IF(SUMIFS($R:$R,$D:$D,"&gt;17",$D:$D,"&lt;25",$G:$G,"Yes",$B:$B,'Client Level Data'!$B12)&gt;0,"PY &gt;17 &lt;25",""))</f>
        <v/>
      </c>
      <c r="V12" s="131">
        <f>IF('Client Level Data'!$K12="Yes",1,0)+IF('Client Level Data'!$L12="Yes",1,0)+IF('Client Level Data'!$M12="Yes",1,0)</f>
        <v>0</v>
      </c>
      <c r="W12" s="132" t="str">
        <f>IF(SUMIFS($R:$R,$F:$F,"Yes",$B:$B,'Client Level Data'!$B12)&gt;0,"Vet Flag","")</f>
        <v/>
      </c>
      <c r="X12" s="133">
        <f t="shared" si="6"/>
        <v>0</v>
      </c>
      <c r="Y12" s="133" t="e">
        <f t="shared" si="7"/>
        <v>#N/A</v>
      </c>
      <c r="Z12" s="133" t="e">
        <f>IF(AND(NOT(ISBLANK(C12)), C12=Y12, R12&lt;1), "Yes", IF(Y12="Single", "N/A", "No"))</f>
        <v>#N/A</v>
      </c>
      <c r="AA12" s="133">
        <f>COUNTIFS(X:X, X12, Z:Z, "No")</f>
        <v>0</v>
      </c>
      <c r="AB12" s="133" t="str">
        <f>IF(SUMIFS($R:$R,$H:$H,"Yes",$B:$B,'Client Level Data'!$B12)&gt;0,"CPY Flag","")</f>
        <v/>
      </c>
      <c r="AC12" s="133" t="str">
        <f t="shared" si="10"/>
        <v>N/A</v>
      </c>
      <c r="AD12" s="133">
        <f t="shared" si="9"/>
        <v>200</v>
      </c>
      <c r="AE12" s="133" t="str">
        <f t="shared" si="1"/>
        <v>Child</v>
      </c>
      <c r="AF12" s="133">
        <f t="shared" si="2"/>
        <v>200</v>
      </c>
      <c r="AG12" s="133" t="str">
        <f t="shared" si="3"/>
        <v>True</v>
      </c>
      <c r="AH12" s="133">
        <f t="shared" si="4"/>
        <v>200</v>
      </c>
      <c r="AI12" s="133" t="str">
        <f t="shared" si="5"/>
        <v>False</v>
      </c>
    </row>
    <row r="13" spans="1:35" x14ac:dyDescent="0.25">
      <c r="A13" s="8">
        <v>106</v>
      </c>
      <c r="B13" s="9"/>
      <c r="C13" s="9"/>
      <c r="D13" s="10"/>
      <c r="E13" s="158"/>
      <c r="F13" s="9"/>
      <c r="G13" s="9"/>
      <c r="H13" s="9"/>
      <c r="I13" s="9"/>
      <c r="J13" s="9"/>
      <c r="K13" s="148"/>
      <c r="L13" s="148"/>
      <c r="M13" s="148"/>
      <c r="N13" s="148"/>
      <c r="O13" s="110"/>
      <c r="P13" s="111"/>
      <c r="Q13" s="109">
        <f>IF(COUNTIF($B$8:$B13,$B13)=1,1,0)</f>
        <v>0</v>
      </c>
      <c r="R13" s="22">
        <f>IFERROR((COUNTIF($A:$A,'Client Level Data'!$A13))/COUNTIF($B:$B,$B13),0)</f>
        <v>0</v>
      </c>
      <c r="S13" s="22" t="str">
        <f>IF(SUMIFS($R:$R,$J:$J,"Yes",$B:$B,'Client Level Data'!$B13)&gt;0,"Chronic Flag","")</f>
        <v/>
      </c>
      <c r="T13" s="22" t="str">
        <f>IF(SUMIFS($R:$R,$G:$G,"Yes",$B:$B,'Client Level Data'!$B13)&gt;0,"PY Flag","")</f>
        <v/>
      </c>
      <c r="U13" s="22" t="str">
        <f>IF(SUMIFS($R:$R,$D:$D,"&lt;18",$G:$G,"Yes",$B:$B,'Client Level Data'!$B13)&gt;0,"PY &lt;18",IF(SUMIFS($R:$R,$D:$D,"&gt;17",$D:$D,"&lt;25",$G:$G,"Yes",$B:$B,'Client Level Data'!$B13)&gt;0,"PY &gt;17 &lt;25",""))</f>
        <v/>
      </c>
      <c r="V13" s="22">
        <f>IF('Client Level Data'!$K13="Yes",1,0)+IF('Client Level Data'!$L13="Yes",1,0)+IF('Client Level Data'!$M13="Yes",1,0)</f>
        <v>0</v>
      </c>
      <c r="W13" s="21" t="str">
        <f>IF(SUMIFS($R:$R,$F:$F,"Yes",$B:$B,'Client Level Data'!$B13)&gt;0,"Vet Flag","")</f>
        <v/>
      </c>
      <c r="X13" s="12">
        <f t="shared" si="6"/>
        <v>0</v>
      </c>
      <c r="Y13" s="12" t="e">
        <f t="shared" si="7"/>
        <v>#N/A</v>
      </c>
      <c r="Z13" s="12" t="e">
        <f t="shared" si="0"/>
        <v>#N/A</v>
      </c>
      <c r="AA13" s="12">
        <f t="shared" si="8"/>
        <v>0</v>
      </c>
      <c r="AB13" s="12" t="str">
        <f>IF(SUMIFS($R:$R,$H:$H,"Yes",$B:$B,'Client Level Data'!$B13)&gt;0,"CPY Flag","")</f>
        <v/>
      </c>
      <c r="AC13" s="12" t="str">
        <f t="shared" si="10"/>
        <v>N/A</v>
      </c>
      <c r="AD13" s="12">
        <f t="shared" si="9"/>
        <v>200</v>
      </c>
      <c r="AE13" s="12" t="str">
        <f t="shared" si="1"/>
        <v>Child</v>
      </c>
      <c r="AF13" s="12">
        <f t="shared" si="2"/>
        <v>200</v>
      </c>
      <c r="AG13" s="12" t="str">
        <f t="shared" si="3"/>
        <v>True</v>
      </c>
      <c r="AH13" s="12">
        <f t="shared" si="4"/>
        <v>200</v>
      </c>
      <c r="AI13" s="12" t="str">
        <f t="shared" si="5"/>
        <v>False</v>
      </c>
    </row>
    <row r="14" spans="1:35" s="133" customFormat="1" x14ac:dyDescent="0.25">
      <c r="A14" s="125">
        <v>107</v>
      </c>
      <c r="B14" s="126"/>
      <c r="C14" s="126"/>
      <c r="D14" s="127"/>
      <c r="E14" s="159"/>
      <c r="F14" s="126"/>
      <c r="G14" s="126"/>
      <c r="H14" s="126"/>
      <c r="I14" s="126"/>
      <c r="J14" s="126"/>
      <c r="K14" s="126"/>
      <c r="L14" s="126"/>
      <c r="M14" s="126"/>
      <c r="N14" s="126"/>
      <c r="O14" s="128"/>
      <c r="P14" s="129"/>
      <c r="Q14" s="130">
        <f>IF(COUNTIF($B$8:$B14,$B14)=1,1,0)</f>
        <v>0</v>
      </c>
      <c r="R14" s="131">
        <f>IFERROR((COUNTIF($A:$A,'Client Level Data'!$A14))/COUNTIF($B:$B,$B14),0)</f>
        <v>0</v>
      </c>
      <c r="S14" s="131" t="str">
        <f>IF(SUMIFS($R:$R,$J:$J,"Yes",$B:$B,'Client Level Data'!$B14)&gt;0,"Chronic Flag","")</f>
        <v/>
      </c>
      <c r="T14" s="131" t="str">
        <f>IF(SUMIFS($R:$R,$G:$G,"Yes",$B:$B,'Client Level Data'!$B14)&gt;0,"PY Flag","")</f>
        <v/>
      </c>
      <c r="U14" s="131" t="str">
        <f>IF(SUMIFS($R:$R,$D:$D,"&lt;18",$G:$G,"Yes",$B:$B,'Client Level Data'!$B14)&gt;0,"PY &lt;18",IF(SUMIFS($R:$R,$D:$D,"&gt;17",$D:$D,"&lt;25",$G:$G,"Yes",$B:$B,'Client Level Data'!$B14)&gt;0,"PY &gt;17 &lt;25",""))</f>
        <v/>
      </c>
      <c r="V14" s="131">
        <f>IF('Client Level Data'!$K14="Yes",1,0)+IF('Client Level Data'!$L14="Yes",1,0)+IF('Client Level Data'!$M14="Yes",1,0)</f>
        <v>0</v>
      </c>
      <c r="W14" s="132" t="str">
        <f>IF(SUMIFS($R:$R,$F:$F,"Yes",$B:$B,'Client Level Data'!$B14)&gt;0,"Vet Flag","")</f>
        <v/>
      </c>
      <c r="X14" s="133">
        <f t="shared" si="6"/>
        <v>0</v>
      </c>
      <c r="Y14" s="133" t="e">
        <f t="shared" si="7"/>
        <v>#N/A</v>
      </c>
      <c r="Z14" s="133" t="e">
        <f t="shared" si="0"/>
        <v>#N/A</v>
      </c>
      <c r="AA14" s="133">
        <f t="shared" si="8"/>
        <v>0</v>
      </c>
      <c r="AB14" s="133" t="str">
        <f>IF(SUMIFS($R:$R,$H:$H,"Yes",$B:$B,'Client Level Data'!$B14)&gt;0,"CPY Flag","")</f>
        <v/>
      </c>
      <c r="AC14" s="133" t="str">
        <f t="shared" si="10"/>
        <v>N/A</v>
      </c>
      <c r="AD14" s="133">
        <f t="shared" si="9"/>
        <v>200</v>
      </c>
      <c r="AE14" s="133" t="str">
        <f t="shared" si="1"/>
        <v>Child</v>
      </c>
      <c r="AF14" s="133">
        <f t="shared" si="2"/>
        <v>200</v>
      </c>
      <c r="AG14" s="133" t="str">
        <f t="shared" si="3"/>
        <v>True</v>
      </c>
      <c r="AH14" s="133">
        <f t="shared" si="4"/>
        <v>200</v>
      </c>
      <c r="AI14" s="133" t="str">
        <f t="shared" si="5"/>
        <v>False</v>
      </c>
    </row>
    <row r="15" spans="1:35" x14ac:dyDescent="0.25">
      <c r="A15" s="8">
        <v>108</v>
      </c>
      <c r="B15" s="9"/>
      <c r="C15" s="9"/>
      <c r="D15" s="10"/>
      <c r="E15" s="156"/>
      <c r="F15" s="9"/>
      <c r="G15" s="9"/>
      <c r="H15" s="9"/>
      <c r="I15" s="9"/>
      <c r="J15" s="9"/>
      <c r="K15" s="148"/>
      <c r="L15" s="148"/>
      <c r="M15" s="148"/>
      <c r="N15" s="148"/>
      <c r="O15" s="112"/>
      <c r="P15" s="113"/>
      <c r="Q15" s="21">
        <f>IF(COUNTIF($B$8:$B15,$B15)=1,1,0)</f>
        <v>0</v>
      </c>
      <c r="R15" s="22">
        <f>IFERROR((COUNTIF($A:$A,'Client Level Data'!$A15))/COUNTIF($B:$B,$B15),0)</f>
        <v>0</v>
      </c>
      <c r="S15" s="22" t="str">
        <f>IF(SUMIFS($R:$R,$J:$J,"Yes",$B:$B,'Client Level Data'!$B15)&gt;0,"Chronic Flag","")</f>
        <v/>
      </c>
      <c r="T15" s="22" t="str">
        <f>IF(SUMIFS($R:$R,$G:$G,"Yes",$B:$B,'Client Level Data'!$B15)&gt;0,"PY Flag","")</f>
        <v/>
      </c>
      <c r="U15" s="22" t="str">
        <f>IF(SUMIFS($R:$R,$D:$D,"&lt;18",$G:$G,"Yes",$B:$B,'Client Level Data'!$B15)&gt;0,"PY &lt;18",IF(SUMIFS($R:$R,$D:$D,"&gt;17",$D:$D,"&lt;25",$G:$G,"Yes",$B:$B,'Client Level Data'!$B15)&gt;0,"PY &gt;17 &lt;25",""))</f>
        <v/>
      </c>
      <c r="V15" s="22">
        <f>IF('Client Level Data'!$K15="Yes",1,0)+IF('Client Level Data'!$L15="Yes",1,0)+IF('Client Level Data'!$M15="Yes",1,0)</f>
        <v>0</v>
      </c>
      <c r="W15" s="21" t="str">
        <f>IF(SUMIFS($R:$R,$F:$F,"Yes",$B:$B,'Client Level Data'!$B15)&gt;0,"Vet Flag","")</f>
        <v/>
      </c>
      <c r="X15" s="12">
        <f t="shared" si="6"/>
        <v>0</v>
      </c>
      <c r="Y15" s="12" t="e">
        <f t="shared" si="7"/>
        <v>#N/A</v>
      </c>
      <c r="Z15" s="12" t="e">
        <f t="shared" si="0"/>
        <v>#N/A</v>
      </c>
      <c r="AA15" s="12">
        <f t="shared" si="8"/>
        <v>0</v>
      </c>
      <c r="AB15" s="12" t="str">
        <f>IF(SUMIFS($R:$R,$H:$H,"Yes",$B:$B,'Client Level Data'!$B15)&gt;0,"CPY Flag","")</f>
        <v/>
      </c>
      <c r="AC15" s="12" t="str">
        <f t="shared" si="10"/>
        <v>N/A</v>
      </c>
      <c r="AD15" s="12">
        <f t="shared" si="9"/>
        <v>200</v>
      </c>
      <c r="AE15" s="12" t="str">
        <f t="shared" si="1"/>
        <v>Child</v>
      </c>
      <c r="AF15" s="12">
        <f t="shared" si="2"/>
        <v>200</v>
      </c>
      <c r="AG15" s="12" t="str">
        <f t="shared" si="3"/>
        <v>True</v>
      </c>
      <c r="AH15" s="12">
        <f t="shared" si="4"/>
        <v>200</v>
      </c>
      <c r="AI15" s="12" t="str">
        <f t="shared" si="5"/>
        <v>False</v>
      </c>
    </row>
    <row r="16" spans="1:35" s="133" customFormat="1" x14ac:dyDescent="0.25">
      <c r="A16" s="125">
        <v>109</v>
      </c>
      <c r="B16" s="126"/>
      <c r="C16" s="126"/>
      <c r="D16" s="127"/>
      <c r="E16" s="157"/>
      <c r="F16" s="126"/>
      <c r="G16" s="126"/>
      <c r="H16" s="126"/>
      <c r="I16" s="126"/>
      <c r="J16" s="126"/>
      <c r="K16" s="126"/>
      <c r="L16" s="126"/>
      <c r="M16" s="126"/>
      <c r="N16" s="126"/>
      <c r="O16" s="128"/>
      <c r="P16" s="129"/>
      <c r="Q16" s="130">
        <f>IF(COUNTIF($B$8:$B16,$B16)=1,1,0)</f>
        <v>0</v>
      </c>
      <c r="R16" s="131">
        <f>IFERROR((COUNTIF($A:$A,'Client Level Data'!$A16))/COUNTIF($B:$B,$B16),0)</f>
        <v>0</v>
      </c>
      <c r="S16" s="131" t="str">
        <f>IF(SUMIFS($R:$R,$J:$J,"Yes",$B:$B,'Client Level Data'!$B16)&gt;0,"Chronic Flag","")</f>
        <v/>
      </c>
      <c r="T16" s="131" t="str">
        <f>IF(SUMIFS($R:$R,$G:$G,"Yes",$B:$B,'Client Level Data'!$B16)&gt;0,"PY Flag","")</f>
        <v/>
      </c>
      <c r="U16" s="131" t="str">
        <f>IF(SUMIFS($R:$R,$D:$D,"&lt;18",$G:$G,"Yes",$B:$B,'Client Level Data'!$B16)&gt;0,"PY &lt;18",IF(SUMIFS($R:$R,$D:$D,"&gt;17",$D:$D,"&lt;25",$G:$G,"Yes",$B:$B,'Client Level Data'!$B16)&gt;0,"PY &gt;17 &lt;25",""))</f>
        <v/>
      </c>
      <c r="V16" s="131">
        <f>IF('Client Level Data'!$K16="Yes",1,0)+IF('Client Level Data'!$L16="Yes",1,0)+IF('Client Level Data'!$M16="Yes",1,0)</f>
        <v>0</v>
      </c>
      <c r="W16" s="132" t="str">
        <f>IF(SUMIFS($R:$R,$F:$F,"Yes",$B:$B,'Client Level Data'!$B16)&gt;0,"Vet Flag","")</f>
        <v/>
      </c>
      <c r="X16" s="133">
        <f t="shared" si="6"/>
        <v>0</v>
      </c>
      <c r="Y16" s="133" t="e">
        <f t="shared" si="7"/>
        <v>#N/A</v>
      </c>
      <c r="Z16" s="133" t="e">
        <f t="shared" si="0"/>
        <v>#N/A</v>
      </c>
      <c r="AA16" s="133">
        <f t="shared" si="8"/>
        <v>0</v>
      </c>
      <c r="AB16" s="133" t="str">
        <f>IF(SUMIFS($R:$R,$H:$H,"Yes",$B:$B,'Client Level Data'!$B16)&gt;0,"CPY Flag","")</f>
        <v/>
      </c>
      <c r="AC16" s="133" t="str">
        <f t="shared" si="10"/>
        <v>N/A</v>
      </c>
      <c r="AD16" s="133">
        <f t="shared" si="9"/>
        <v>200</v>
      </c>
      <c r="AE16" s="133" t="str">
        <f t="shared" si="1"/>
        <v>Child</v>
      </c>
      <c r="AF16" s="133">
        <f t="shared" si="2"/>
        <v>200</v>
      </c>
      <c r="AG16" s="133" t="str">
        <f t="shared" si="3"/>
        <v>True</v>
      </c>
      <c r="AH16" s="133">
        <f t="shared" si="4"/>
        <v>200</v>
      </c>
      <c r="AI16" s="133" t="str">
        <f t="shared" si="5"/>
        <v>False</v>
      </c>
    </row>
    <row r="17" spans="1:35" x14ac:dyDescent="0.25">
      <c r="A17" s="8">
        <v>110</v>
      </c>
      <c r="B17" s="9"/>
      <c r="C17" s="9"/>
      <c r="D17" s="10"/>
      <c r="E17" s="156"/>
      <c r="F17" s="9"/>
      <c r="G17" s="9"/>
      <c r="H17" s="9"/>
      <c r="I17" s="9"/>
      <c r="J17" s="9"/>
      <c r="K17" s="148"/>
      <c r="L17" s="148"/>
      <c r="M17" s="148"/>
      <c r="N17" s="148"/>
      <c r="O17" s="115"/>
      <c r="P17" s="114"/>
      <c r="Q17" s="21">
        <f>IF(COUNTIF($B$8:$B17,$B17)=1,1,0)</f>
        <v>0</v>
      </c>
      <c r="R17" s="22">
        <f>IFERROR((COUNTIF($A:$A,'Client Level Data'!$A17))/COUNTIF($B:$B,$B17),0)</f>
        <v>0</v>
      </c>
      <c r="S17" s="22" t="str">
        <f>IF(SUMIFS($R:$R,$J:$J,"Yes",$B:$B,'Client Level Data'!$B17)&gt;0,"Chronic Flag","")</f>
        <v/>
      </c>
      <c r="T17" s="22" t="str">
        <f>IF(SUMIFS($R:$R,$G:$G,"Yes",$B:$B,'Client Level Data'!$B17)&gt;0,"PY Flag","")</f>
        <v/>
      </c>
      <c r="U17" s="22" t="str">
        <f>IF(SUMIFS($R:$R,$D:$D,"&lt;18",$G:$G,"Yes",$B:$B,'Client Level Data'!$B17)&gt;0,"PY &lt;18",IF(SUMIFS($R:$R,$D:$D,"&gt;17",$D:$D,"&lt;25",$G:$G,"Yes",$B:$B,'Client Level Data'!$B17)&gt;0,"PY &gt;17 &lt;25",""))</f>
        <v/>
      </c>
      <c r="V17" s="22">
        <f>IF('Client Level Data'!$K17="Yes",1,0)+IF('Client Level Data'!$L17="Yes",1,0)+IF('Client Level Data'!$M17="Yes",1,0)</f>
        <v>0</v>
      </c>
      <c r="W17" s="21" t="str">
        <f>IF(SUMIFS($R:$R,$F:$F,"Yes",$B:$B,'Client Level Data'!$B17)&gt;0,"Vet Flag","")</f>
        <v/>
      </c>
      <c r="X17" s="12">
        <f t="shared" si="6"/>
        <v>0</v>
      </c>
      <c r="Y17" s="12" t="e">
        <f t="shared" si="7"/>
        <v>#N/A</v>
      </c>
      <c r="Z17" s="12" t="e">
        <f t="shared" si="0"/>
        <v>#N/A</v>
      </c>
      <c r="AA17" s="12">
        <f t="shared" si="8"/>
        <v>0</v>
      </c>
      <c r="AB17" s="12" t="str">
        <f>IF(SUMIFS($R:$R,$H:$H,"Yes",$B:$B,'Client Level Data'!$B17)&gt;0,"CPY Flag","")</f>
        <v/>
      </c>
      <c r="AC17" s="12" t="str">
        <f t="shared" si="10"/>
        <v>N/A</v>
      </c>
      <c r="AD17" s="12">
        <f t="shared" si="9"/>
        <v>200</v>
      </c>
      <c r="AE17" s="12" t="str">
        <f t="shared" si="1"/>
        <v>Child</v>
      </c>
      <c r="AF17" s="12">
        <f t="shared" si="2"/>
        <v>200</v>
      </c>
      <c r="AG17" s="12" t="str">
        <f t="shared" si="3"/>
        <v>True</v>
      </c>
      <c r="AH17" s="12">
        <f t="shared" si="4"/>
        <v>200</v>
      </c>
      <c r="AI17" s="12" t="str">
        <f t="shared" si="5"/>
        <v>False</v>
      </c>
    </row>
    <row r="18" spans="1:35" s="133" customFormat="1" x14ac:dyDescent="0.25">
      <c r="A18" s="125">
        <v>111</v>
      </c>
      <c r="B18" s="126"/>
      <c r="C18" s="126"/>
      <c r="D18" s="127"/>
      <c r="E18" s="157"/>
      <c r="F18" s="126"/>
      <c r="G18" s="126"/>
      <c r="H18" s="126"/>
      <c r="I18" s="126"/>
      <c r="J18" s="126"/>
      <c r="K18" s="126"/>
      <c r="L18" s="126"/>
      <c r="M18" s="126"/>
      <c r="N18" s="126"/>
      <c r="O18" s="136"/>
      <c r="P18" s="137"/>
      <c r="Q18" s="132">
        <f>IF(COUNTIF($B$8:$B18,$B18)=1,1,0)</f>
        <v>0</v>
      </c>
      <c r="R18" s="131">
        <f>IFERROR((COUNTIF($A:$A,'Client Level Data'!$A18))/COUNTIF($B:$B,$B18),0)</f>
        <v>0</v>
      </c>
      <c r="S18" s="131" t="str">
        <f>IF(SUMIFS($R:$R,$J:$J,"Yes",$B:$B,'Client Level Data'!$B18)&gt;0,"Chronic Flag","")</f>
        <v/>
      </c>
      <c r="T18" s="131" t="str">
        <f>IF(SUMIFS($R:$R,$G:$G,"Yes",$B:$B,'Client Level Data'!$B18)&gt;0,"PY Flag","")</f>
        <v/>
      </c>
      <c r="U18" s="131" t="str">
        <f>IF(SUMIFS($R:$R,$D:$D,"&lt;18",$G:$G,"Yes",$B:$B,'Client Level Data'!$B18)&gt;0,"PY &lt;18",IF(SUMIFS($R:$R,$D:$D,"&gt;17",$D:$D,"&lt;25",$G:$G,"Yes",$B:$B,'Client Level Data'!$B18)&gt;0,"PY &gt;17 &lt;25",""))</f>
        <v/>
      </c>
      <c r="V18" s="131">
        <f>IF('Client Level Data'!$K18="Yes",1,0)+IF('Client Level Data'!$L18="Yes",1,0)+IF('Client Level Data'!$M18="Yes",1,0)</f>
        <v>0</v>
      </c>
      <c r="W18" s="132" t="str">
        <f>IF(SUMIFS($R:$R,$F:$F,"Yes",$B:$B,'Client Level Data'!$B18)&gt;0,"Vet Flag","")</f>
        <v/>
      </c>
      <c r="X18" s="133">
        <f t="shared" si="6"/>
        <v>0</v>
      </c>
      <c r="Y18" s="133" t="e">
        <f t="shared" si="7"/>
        <v>#N/A</v>
      </c>
      <c r="Z18" s="133" t="e">
        <f t="shared" si="0"/>
        <v>#N/A</v>
      </c>
      <c r="AA18" s="133">
        <f t="shared" si="8"/>
        <v>0</v>
      </c>
      <c r="AB18" s="133" t="str">
        <f>IF(SUMIFS($R:$R,$H:$H,"Yes",$B:$B,'Client Level Data'!$B18)&gt;0,"CPY Flag","")</f>
        <v/>
      </c>
      <c r="AC18" s="133" t="str">
        <f t="shared" si="10"/>
        <v>N/A</v>
      </c>
      <c r="AD18" s="133">
        <f t="shared" si="9"/>
        <v>200</v>
      </c>
      <c r="AE18" s="133" t="str">
        <f t="shared" si="1"/>
        <v>Child</v>
      </c>
      <c r="AF18" s="133">
        <f t="shared" si="2"/>
        <v>200</v>
      </c>
      <c r="AG18" s="133" t="str">
        <f t="shared" si="3"/>
        <v>True</v>
      </c>
      <c r="AH18" s="133">
        <f t="shared" si="4"/>
        <v>200</v>
      </c>
      <c r="AI18" s="133" t="str">
        <f t="shared" si="5"/>
        <v>False</v>
      </c>
    </row>
    <row r="19" spans="1:35" x14ac:dyDescent="0.25">
      <c r="A19" s="8">
        <v>112</v>
      </c>
      <c r="B19" s="9"/>
      <c r="C19" s="9"/>
      <c r="D19" s="10"/>
      <c r="E19" s="156"/>
      <c r="F19" s="9"/>
      <c r="G19" s="9"/>
      <c r="H19" s="9"/>
      <c r="I19" s="9"/>
      <c r="J19" s="9"/>
      <c r="K19" s="148"/>
      <c r="L19" s="148"/>
      <c r="M19" s="148"/>
      <c r="N19" s="148"/>
      <c r="O19" s="110"/>
      <c r="P19" s="111"/>
      <c r="Q19" s="109">
        <f>IF(COUNTIF($B$8:$B19,$B19)=1,1,0)</f>
        <v>0</v>
      </c>
      <c r="R19" s="22">
        <f>IFERROR((COUNTIF($A:$A,'Client Level Data'!$A19))/COUNTIF($B:$B,$B19),0)</f>
        <v>0</v>
      </c>
      <c r="S19" s="22" t="str">
        <f>IF(SUMIFS($R:$R,$J:$J,"Yes",$B:$B,'Client Level Data'!$B19)&gt;0,"Chronic Flag","")</f>
        <v/>
      </c>
      <c r="T19" s="22" t="str">
        <f>IF(SUMIFS($R:$R,$G:$G,"Yes",$B:$B,'Client Level Data'!$B19)&gt;0,"PY Flag","")</f>
        <v/>
      </c>
      <c r="U19" s="22" t="str">
        <f>IF(SUMIFS($R:$R,$D:$D,"&lt;18",$G:$G,"Yes",$B:$B,'Client Level Data'!$B19)&gt;0,"PY &lt;18",IF(SUMIFS($R:$R,$D:$D,"&gt;17",$D:$D,"&lt;25",$G:$G,"Yes",$B:$B,'Client Level Data'!$B19)&gt;0,"PY &gt;17 &lt;25",""))</f>
        <v/>
      </c>
      <c r="V19" s="22">
        <f>IF('Client Level Data'!$K19="Yes",1,0)+IF('Client Level Data'!$L19="Yes",1,0)+IF('Client Level Data'!$M19="Yes",1,0)</f>
        <v>0</v>
      </c>
      <c r="W19" s="21" t="str">
        <f>IF(SUMIFS($R:$R,$F:$F,"Yes",$B:$B,'Client Level Data'!$B19)&gt;0,"Vet Flag","")</f>
        <v/>
      </c>
      <c r="X19" s="12">
        <f t="shared" si="6"/>
        <v>0</v>
      </c>
      <c r="Y19" s="12" t="e">
        <f t="shared" si="7"/>
        <v>#N/A</v>
      </c>
      <c r="Z19" s="12" t="e">
        <f t="shared" si="0"/>
        <v>#N/A</v>
      </c>
      <c r="AA19" s="12">
        <f t="shared" si="8"/>
        <v>0</v>
      </c>
      <c r="AB19" s="12" t="str">
        <f>IF(SUMIFS($R:$R,$H:$H,"Yes",$B:$B,'Client Level Data'!$B19)&gt;0,"CPY Flag","")</f>
        <v/>
      </c>
      <c r="AC19" s="12" t="str">
        <f t="shared" si="10"/>
        <v>N/A</v>
      </c>
      <c r="AD19" s="12">
        <f t="shared" si="9"/>
        <v>200</v>
      </c>
      <c r="AE19" s="12" t="str">
        <f t="shared" si="1"/>
        <v>Child</v>
      </c>
      <c r="AF19" s="12">
        <f t="shared" si="2"/>
        <v>200</v>
      </c>
      <c r="AG19" s="12" t="str">
        <f t="shared" si="3"/>
        <v>True</v>
      </c>
      <c r="AH19" s="12">
        <f t="shared" si="4"/>
        <v>200</v>
      </c>
      <c r="AI19" s="12" t="str">
        <f t="shared" si="5"/>
        <v>False</v>
      </c>
    </row>
    <row r="20" spans="1:35" s="133" customFormat="1" x14ac:dyDescent="0.25">
      <c r="A20" s="125">
        <v>113</v>
      </c>
      <c r="B20" s="126"/>
      <c r="C20" s="126"/>
      <c r="D20" s="127"/>
      <c r="E20" s="157"/>
      <c r="F20" s="126"/>
      <c r="G20" s="126"/>
      <c r="H20" s="126"/>
      <c r="I20" s="126"/>
      <c r="J20" s="126"/>
      <c r="K20" s="126"/>
      <c r="L20" s="126"/>
      <c r="M20" s="126"/>
      <c r="N20" s="126"/>
      <c r="O20" s="136"/>
      <c r="P20" s="136"/>
      <c r="Q20" s="132">
        <f>IF(COUNTIF($B$8:$B20,$B20)=1,1,0)</f>
        <v>0</v>
      </c>
      <c r="R20" s="131">
        <f>IFERROR((COUNTIF($A:$A,'Client Level Data'!$A20))/COUNTIF($B:$B,$B20),0)</f>
        <v>0</v>
      </c>
      <c r="S20" s="131" t="str">
        <f>IF(SUMIFS($R:$R,$J:$J,"Yes",$B:$B,'Client Level Data'!$B20)&gt;0,"Chronic Flag","")</f>
        <v/>
      </c>
      <c r="T20" s="131" t="str">
        <f>IF(SUMIFS($R:$R,$G:$G,"Yes",$B:$B,'Client Level Data'!$B20)&gt;0,"PY Flag","")</f>
        <v/>
      </c>
      <c r="U20" s="131" t="str">
        <f>IF(SUMIFS($R:$R,$D:$D,"&lt;18",$G:$G,"Yes",$B:$B,'Client Level Data'!$B20)&gt;0,"PY &lt;18",IF(SUMIFS($R:$R,$D:$D,"&gt;17",$D:$D,"&lt;25",$G:$G,"Yes",$B:$B,'Client Level Data'!$B20)&gt;0,"PY &gt;17 &lt;25",""))</f>
        <v/>
      </c>
      <c r="V20" s="131">
        <f>IF('Client Level Data'!$K20="Yes",1,0)+IF('Client Level Data'!$L20="Yes",1,0)+IF('Client Level Data'!$M20="Yes",1,0)</f>
        <v>0</v>
      </c>
      <c r="W20" s="132" t="str">
        <f>IF(SUMIFS($R:$R,$F:$F,"Yes",$B:$B,'Client Level Data'!$B20)&gt;0,"Vet Flag","")</f>
        <v/>
      </c>
      <c r="X20" s="133">
        <f t="shared" si="6"/>
        <v>0</v>
      </c>
      <c r="Y20" s="133" t="e">
        <f t="shared" si="7"/>
        <v>#N/A</v>
      </c>
      <c r="Z20" s="133" t="e">
        <f t="shared" si="0"/>
        <v>#N/A</v>
      </c>
      <c r="AA20" s="133">
        <f t="shared" si="8"/>
        <v>0</v>
      </c>
      <c r="AB20" s="133" t="str">
        <f>IF(SUMIFS($R:$R,$H:$H,"Yes",$B:$B,'Client Level Data'!$B20)&gt;0,"CPY Flag","")</f>
        <v/>
      </c>
      <c r="AC20" s="133" t="str">
        <f t="shared" si="10"/>
        <v>N/A</v>
      </c>
      <c r="AD20" s="133">
        <f t="shared" si="9"/>
        <v>200</v>
      </c>
      <c r="AE20" s="133" t="str">
        <f t="shared" si="1"/>
        <v>Child</v>
      </c>
      <c r="AF20" s="133">
        <f t="shared" si="2"/>
        <v>200</v>
      </c>
      <c r="AG20" s="133" t="str">
        <f t="shared" si="3"/>
        <v>True</v>
      </c>
      <c r="AH20" s="133">
        <f t="shared" si="4"/>
        <v>200</v>
      </c>
      <c r="AI20" s="133" t="str">
        <f t="shared" si="5"/>
        <v>False</v>
      </c>
    </row>
    <row r="21" spans="1:35" x14ac:dyDescent="0.25">
      <c r="A21" s="8">
        <v>114</v>
      </c>
      <c r="B21" s="9"/>
      <c r="C21" s="9"/>
      <c r="D21" s="10"/>
      <c r="E21" s="160"/>
      <c r="F21" s="9"/>
      <c r="G21" s="9"/>
      <c r="H21" s="9"/>
      <c r="I21" s="9"/>
      <c r="J21" s="9"/>
      <c r="K21" s="148"/>
      <c r="L21" s="148"/>
      <c r="M21" s="148"/>
      <c r="N21" s="148"/>
      <c r="O21" s="110"/>
      <c r="P21" s="111"/>
      <c r="Q21" s="109">
        <f>IF(COUNTIF($B$8:$B21,$B21)=1,1,0)</f>
        <v>0</v>
      </c>
      <c r="R21" s="22">
        <f>IFERROR((COUNTIF($A:$A,'Client Level Data'!$A21))/COUNTIF($B:$B,$B21),0)</f>
        <v>0</v>
      </c>
      <c r="S21" s="22" t="str">
        <f>IF(SUMIFS($R:$R,$J:$J,"Yes",$B:$B,'Client Level Data'!$B21)&gt;0,"Chronic Flag","")</f>
        <v/>
      </c>
      <c r="T21" s="22" t="str">
        <f>IF(SUMIFS($R:$R,$G:$G,"Yes",$B:$B,'Client Level Data'!$B21)&gt;0,"PY Flag","")</f>
        <v/>
      </c>
      <c r="U21" s="22" t="str">
        <f>IF(SUMIFS($R:$R,$D:$D,"&lt;18",$G:$G,"Yes",$B:$B,'Client Level Data'!$B21)&gt;0,"PY &lt;18",IF(SUMIFS($R:$R,$D:$D,"&gt;17",$D:$D,"&lt;25",$G:$G,"Yes",$B:$B,'Client Level Data'!$B21)&gt;0,"PY &gt;17 &lt;25",""))</f>
        <v/>
      </c>
      <c r="V21" s="22">
        <f>IF('Client Level Data'!$K21="Yes",1,0)+IF('Client Level Data'!$L21="Yes",1,0)+IF('Client Level Data'!$M21="Yes",1,0)</f>
        <v>0</v>
      </c>
      <c r="W21" s="21" t="str">
        <f>IF(SUMIFS($R:$R,$F:$F,"Yes",$B:$B,'Client Level Data'!$B21)&gt;0,"Vet Flag","")</f>
        <v/>
      </c>
      <c r="X21" s="12">
        <f t="shared" si="6"/>
        <v>0</v>
      </c>
      <c r="Y21" s="12" t="e">
        <f t="shared" si="7"/>
        <v>#N/A</v>
      </c>
      <c r="Z21" s="12" t="e">
        <f t="shared" si="0"/>
        <v>#N/A</v>
      </c>
      <c r="AA21" s="12">
        <f t="shared" si="8"/>
        <v>0</v>
      </c>
      <c r="AB21" s="12" t="str">
        <f>IF(SUMIFS($R:$R,$H:$H,"Yes",$B:$B,'Client Level Data'!$B21)&gt;0,"CPY Flag","")</f>
        <v/>
      </c>
      <c r="AC21" s="12" t="str">
        <f t="shared" si="10"/>
        <v>N/A</v>
      </c>
      <c r="AD21" s="12">
        <f t="shared" si="9"/>
        <v>200</v>
      </c>
      <c r="AE21" s="12" t="str">
        <f t="shared" si="1"/>
        <v>Child</v>
      </c>
      <c r="AF21" s="12">
        <f t="shared" si="2"/>
        <v>200</v>
      </c>
      <c r="AG21" s="12" t="str">
        <f t="shared" si="3"/>
        <v>True</v>
      </c>
      <c r="AH21" s="12">
        <f t="shared" si="4"/>
        <v>200</v>
      </c>
      <c r="AI21" s="12" t="str">
        <f t="shared" si="5"/>
        <v>False</v>
      </c>
    </row>
    <row r="22" spans="1:35" s="133" customFormat="1" x14ac:dyDescent="0.25">
      <c r="A22" s="125">
        <v>115</v>
      </c>
      <c r="B22" s="126"/>
      <c r="C22" s="126"/>
      <c r="D22" s="127"/>
      <c r="E22" s="157"/>
      <c r="F22" s="126"/>
      <c r="G22" s="126"/>
      <c r="H22" s="126"/>
      <c r="I22" s="126"/>
      <c r="J22" s="126"/>
      <c r="K22" s="126"/>
      <c r="L22" s="126"/>
      <c r="M22" s="126"/>
      <c r="N22" s="126"/>
      <c r="O22" s="136"/>
      <c r="P22" s="135"/>
      <c r="Q22" s="132">
        <f>IF(COUNTIF($B$8:$B22,$B22)=1,1,0)</f>
        <v>0</v>
      </c>
      <c r="R22" s="131">
        <f>IFERROR((COUNTIF($A:$A,'Client Level Data'!$A22))/COUNTIF($B:$B,$B22),0)</f>
        <v>0</v>
      </c>
      <c r="S22" s="131" t="str">
        <f>IF(SUMIFS($R:$R,$J:$J,"Yes",$B:$B,'Client Level Data'!$B22)&gt;0,"Chronic Flag","")</f>
        <v/>
      </c>
      <c r="T22" s="131" t="str">
        <f>IF(SUMIFS($R:$R,$G:$G,"Yes",$B:$B,'Client Level Data'!$B22)&gt;0,"PY Flag","")</f>
        <v/>
      </c>
      <c r="U22" s="131" t="str">
        <f>IF(SUMIFS($R:$R,$D:$D,"&lt;18",$G:$G,"Yes",$B:$B,'Client Level Data'!$B22)&gt;0,"PY &lt;18",IF(SUMIFS($R:$R,$D:$D,"&gt;17",$D:$D,"&lt;25",$G:$G,"Yes",$B:$B,'Client Level Data'!$B22)&gt;0,"PY &gt;17 &lt;25",""))</f>
        <v/>
      </c>
      <c r="V22" s="131">
        <f>IF('Client Level Data'!$K22="Yes",1,0)+IF('Client Level Data'!$L22="Yes",1,0)+IF('Client Level Data'!$M22="Yes",1,0)</f>
        <v>0</v>
      </c>
      <c r="W22" s="132" t="str">
        <f>IF(SUMIFS($R:$R,$F:$F,"Yes",$B:$B,'Client Level Data'!$B22)&gt;0,"Vet Flag","")</f>
        <v/>
      </c>
      <c r="X22" s="133">
        <f t="shared" si="6"/>
        <v>0</v>
      </c>
      <c r="Y22" s="133" t="e">
        <f t="shared" si="7"/>
        <v>#N/A</v>
      </c>
      <c r="Z22" s="133" t="e">
        <f t="shared" si="0"/>
        <v>#N/A</v>
      </c>
      <c r="AA22" s="133">
        <f t="shared" si="8"/>
        <v>0</v>
      </c>
      <c r="AB22" s="133" t="str">
        <f>IF(SUMIFS($R:$R,$H:$H,"Yes",$B:$B,'Client Level Data'!$B22)&gt;0,"CPY Flag","")</f>
        <v/>
      </c>
      <c r="AC22" s="133" t="str">
        <f t="shared" si="10"/>
        <v>N/A</v>
      </c>
      <c r="AD22" s="133">
        <f t="shared" si="9"/>
        <v>200</v>
      </c>
      <c r="AE22" s="133" t="str">
        <f t="shared" si="1"/>
        <v>Child</v>
      </c>
      <c r="AF22" s="133">
        <f t="shared" si="2"/>
        <v>200</v>
      </c>
      <c r="AG22" s="133" t="str">
        <f t="shared" si="3"/>
        <v>True</v>
      </c>
      <c r="AH22" s="133">
        <f t="shared" si="4"/>
        <v>200</v>
      </c>
      <c r="AI22" s="133" t="str">
        <f t="shared" si="5"/>
        <v>False</v>
      </c>
    </row>
    <row r="23" spans="1:35" x14ac:dyDescent="0.25">
      <c r="A23" s="8">
        <v>116</v>
      </c>
      <c r="B23" s="9"/>
      <c r="C23" s="9"/>
      <c r="D23" s="10"/>
      <c r="E23" s="156"/>
      <c r="F23" s="9"/>
      <c r="G23" s="9"/>
      <c r="H23" s="9"/>
      <c r="I23" s="9"/>
      <c r="J23" s="9"/>
      <c r="K23" s="148"/>
      <c r="L23" s="148"/>
      <c r="M23" s="148"/>
      <c r="N23" s="148"/>
      <c r="O23" s="113"/>
      <c r="P23" s="113"/>
      <c r="Q23" s="21">
        <f>IF(COUNTIF($B$8:$B23,$B23)=1,1,0)</f>
        <v>0</v>
      </c>
      <c r="R23" s="22">
        <f>IFERROR((COUNTIF($A:$A,'Client Level Data'!$A23))/COUNTIF($B:$B,$B23),0)</f>
        <v>0</v>
      </c>
      <c r="S23" s="22" t="str">
        <f>IF(SUMIFS($R:$R,$J:$J,"Yes",$B:$B,'Client Level Data'!$B23)&gt;0,"Chronic Flag","")</f>
        <v/>
      </c>
      <c r="T23" s="22" t="str">
        <f>IF(SUMIFS($R:$R,$G:$G,"Yes",$B:$B,'Client Level Data'!$B23)&gt;0,"PY Flag","")</f>
        <v/>
      </c>
      <c r="U23" s="22" t="str">
        <f>IF(SUMIFS($R:$R,$D:$D,"&lt;18",$G:$G,"Yes",$B:$B,'Client Level Data'!$B23)&gt;0,"PY &lt;18",IF(SUMIFS($R:$R,$D:$D,"&gt;17",$D:$D,"&lt;25",$G:$G,"Yes",$B:$B,'Client Level Data'!$B23)&gt;0,"PY &gt;17 &lt;25",""))</f>
        <v/>
      </c>
      <c r="V23" s="22">
        <f>IF('Client Level Data'!$K23="Yes",1,0)+IF('Client Level Data'!$L23="Yes",1,0)+IF('Client Level Data'!$M23="Yes",1,0)</f>
        <v>0</v>
      </c>
      <c r="W23" s="21" t="str">
        <f>IF(SUMIFS($R:$R,$F:$F,"Yes",$B:$B,'Client Level Data'!$B23)&gt;0,"Vet Flag","")</f>
        <v/>
      </c>
      <c r="X23" s="12">
        <f t="shared" si="6"/>
        <v>0</v>
      </c>
      <c r="Y23" s="12" t="e">
        <f t="shared" si="7"/>
        <v>#N/A</v>
      </c>
      <c r="Z23" s="12" t="e">
        <f t="shared" si="0"/>
        <v>#N/A</v>
      </c>
      <c r="AA23" s="12">
        <f t="shared" si="8"/>
        <v>0</v>
      </c>
      <c r="AB23" s="12" t="str">
        <f>IF(SUMIFS($R:$R,$H:$H,"Yes",$B:$B,'Client Level Data'!$B23)&gt;0,"CPY Flag","")</f>
        <v/>
      </c>
      <c r="AC23" s="12" t="str">
        <f t="shared" si="10"/>
        <v>N/A</v>
      </c>
      <c r="AD23" s="12">
        <f t="shared" si="9"/>
        <v>200</v>
      </c>
      <c r="AE23" s="12" t="str">
        <f t="shared" si="1"/>
        <v>Child</v>
      </c>
      <c r="AF23" s="12">
        <f t="shared" si="2"/>
        <v>200</v>
      </c>
      <c r="AG23" s="12" t="str">
        <f t="shared" si="3"/>
        <v>True</v>
      </c>
      <c r="AH23" s="12">
        <f t="shared" si="4"/>
        <v>200</v>
      </c>
      <c r="AI23" s="12" t="str">
        <f t="shared" si="5"/>
        <v>False</v>
      </c>
    </row>
    <row r="24" spans="1:35" s="133" customFormat="1" x14ac:dyDescent="0.25">
      <c r="A24" s="125">
        <v>117</v>
      </c>
      <c r="B24" s="126"/>
      <c r="C24" s="126"/>
      <c r="D24" s="127"/>
      <c r="E24" s="157"/>
      <c r="F24" s="126"/>
      <c r="G24" s="126"/>
      <c r="H24" s="126"/>
      <c r="I24" s="126"/>
      <c r="J24" s="126"/>
      <c r="K24" s="126"/>
      <c r="L24" s="126"/>
      <c r="M24" s="126"/>
      <c r="N24" s="126"/>
      <c r="O24" s="134"/>
      <c r="P24" s="135"/>
      <c r="Q24" s="132">
        <f>IF(COUNTIF($B$8:$B24,$B24)=1,1,0)</f>
        <v>0</v>
      </c>
      <c r="R24" s="131">
        <f>IFERROR((COUNTIF($A:$A,'Client Level Data'!$A24))/COUNTIF($B:$B,$B24),0)</f>
        <v>0</v>
      </c>
      <c r="S24" s="131" t="str">
        <f>IF(SUMIFS($R:$R,$J:$J,"Yes",$B:$B,'Client Level Data'!$B24)&gt;0,"Chronic Flag","")</f>
        <v/>
      </c>
      <c r="T24" s="131" t="str">
        <f>IF(SUMIFS($R:$R,$G:$G,"Yes",$B:$B,'Client Level Data'!$B24)&gt;0,"PY Flag","")</f>
        <v/>
      </c>
      <c r="U24" s="131" t="str">
        <f>IF(SUMIFS($R:$R,$D:$D,"&lt;18",$G:$G,"Yes",$B:$B,'Client Level Data'!$B24)&gt;0,"PY &lt;18",IF(SUMIFS($R:$R,$D:$D,"&gt;17",$D:$D,"&lt;25",$G:$G,"Yes",$B:$B,'Client Level Data'!$B24)&gt;0,"PY &gt;17 &lt;25",""))</f>
        <v/>
      </c>
      <c r="V24" s="131">
        <f>IF('Client Level Data'!$K24="Yes",1,0)+IF('Client Level Data'!$L24="Yes",1,0)+IF('Client Level Data'!$M24="Yes",1,0)</f>
        <v>0</v>
      </c>
      <c r="W24" s="132" t="str">
        <f>IF(SUMIFS($R:$R,$F:$F,"Yes",$B:$B,'Client Level Data'!$B24)&gt;0,"Vet Flag","")</f>
        <v/>
      </c>
      <c r="X24" s="133">
        <f t="shared" si="6"/>
        <v>0</v>
      </c>
      <c r="Y24" s="133" t="e">
        <f t="shared" si="7"/>
        <v>#N/A</v>
      </c>
      <c r="Z24" s="133" t="e">
        <f t="shared" si="0"/>
        <v>#N/A</v>
      </c>
      <c r="AA24" s="133">
        <f t="shared" si="8"/>
        <v>0</v>
      </c>
      <c r="AB24" s="133" t="str">
        <f>IF(SUMIFS($R:$R,$H:$H,"Yes",$B:$B,'Client Level Data'!$B24)&gt;0,"CPY Flag","")</f>
        <v/>
      </c>
      <c r="AC24" s="133" t="str">
        <f t="shared" si="10"/>
        <v>N/A</v>
      </c>
      <c r="AD24" s="133">
        <f t="shared" si="9"/>
        <v>200</v>
      </c>
      <c r="AE24" s="133" t="str">
        <f t="shared" si="1"/>
        <v>Child</v>
      </c>
      <c r="AF24" s="133">
        <f t="shared" si="2"/>
        <v>200</v>
      </c>
      <c r="AG24" s="133" t="str">
        <f t="shared" si="3"/>
        <v>True</v>
      </c>
      <c r="AH24" s="133">
        <f t="shared" si="4"/>
        <v>200</v>
      </c>
      <c r="AI24" s="133" t="str">
        <f t="shared" si="5"/>
        <v>False</v>
      </c>
    </row>
    <row r="25" spans="1:35" ht="15.75" customHeight="1" x14ac:dyDescent="0.25">
      <c r="A25" s="8">
        <v>118</v>
      </c>
      <c r="B25" s="9"/>
      <c r="C25" s="9"/>
      <c r="D25" s="10"/>
      <c r="E25" s="156"/>
      <c r="F25" s="9"/>
      <c r="G25" s="9"/>
      <c r="H25" s="9"/>
      <c r="I25" s="9"/>
      <c r="J25" s="9"/>
      <c r="K25" s="148"/>
      <c r="L25" s="148"/>
      <c r="M25" s="148"/>
      <c r="N25" s="148"/>
      <c r="O25" s="11"/>
      <c r="P25" s="11"/>
      <c r="Q25" s="21">
        <f>IF(COUNTIF($B$8:$B25,$B25)=1,1,0)</f>
        <v>0</v>
      </c>
      <c r="R25" s="22">
        <f>IFERROR((COUNTIF($A:$A,'Client Level Data'!$A25))/COUNTIF($B:$B,$B25),0)</f>
        <v>0</v>
      </c>
      <c r="S25" s="22" t="str">
        <f>IF(SUMIFS($R:$R,$J:$J,"Yes",$B:$B,'Client Level Data'!$B25)&gt;0,"Chronic Flag","")</f>
        <v/>
      </c>
      <c r="T25" s="22" t="str">
        <f>IF(SUMIFS($R:$R,$G:$G,"Yes",$B:$B,'Client Level Data'!$B25)&gt;0,"PY Flag","")</f>
        <v/>
      </c>
      <c r="U25" s="22" t="str">
        <f>IF(SUMIFS($R:$R,$D:$D,"&lt;18",$G:$G,"Yes",$B:$B,'Client Level Data'!$B25)&gt;0,"PY &lt;18",IF(SUMIFS($R:$R,$D:$D,"&gt;17",$D:$D,"&lt;25",$G:$G,"Yes",$B:$B,'Client Level Data'!$B25)&gt;0,"PY &gt;17 &lt;25",""))</f>
        <v/>
      </c>
      <c r="V25" s="22">
        <f>IF('Client Level Data'!$K25="Yes",1,0)+IF('Client Level Data'!$L25="Yes",1,0)+IF('Client Level Data'!$M25="Yes",1,0)</f>
        <v>0</v>
      </c>
      <c r="W25" s="21" t="str">
        <f>IF(SUMIFS($R:$R,$F:$F,"Yes",$B:$B,'Client Level Data'!$B25)&gt;0,"Vet Flag","")</f>
        <v/>
      </c>
      <c r="X25" s="12">
        <f t="shared" si="6"/>
        <v>0</v>
      </c>
      <c r="Y25" s="12" t="e">
        <f t="shared" si="7"/>
        <v>#N/A</v>
      </c>
      <c r="Z25" s="12" t="e">
        <f t="shared" si="0"/>
        <v>#N/A</v>
      </c>
      <c r="AA25" s="12">
        <f t="shared" si="8"/>
        <v>0</v>
      </c>
      <c r="AB25" s="12" t="str">
        <f>IF(SUMIFS($R:$R,$H:$H,"Yes",$B:$B,'Client Level Data'!$B25)&gt;0,"CPY Flag","")</f>
        <v/>
      </c>
      <c r="AC25" s="12" t="str">
        <f t="shared" si="10"/>
        <v>N/A</v>
      </c>
      <c r="AD25" s="12">
        <f t="shared" si="9"/>
        <v>200</v>
      </c>
      <c r="AE25" s="12" t="str">
        <f t="shared" si="1"/>
        <v>Child</v>
      </c>
      <c r="AF25" s="12">
        <f t="shared" si="2"/>
        <v>200</v>
      </c>
      <c r="AG25" s="12" t="str">
        <f t="shared" si="3"/>
        <v>True</v>
      </c>
      <c r="AH25" s="12">
        <f t="shared" si="4"/>
        <v>200</v>
      </c>
      <c r="AI25" s="12" t="str">
        <f t="shared" si="5"/>
        <v>False</v>
      </c>
    </row>
    <row r="26" spans="1:35" s="133" customFormat="1" ht="15.75" customHeight="1" x14ac:dyDescent="0.25">
      <c r="A26" s="125">
        <v>119</v>
      </c>
      <c r="B26" s="126"/>
      <c r="C26" s="126"/>
      <c r="D26" s="127"/>
      <c r="E26" s="157"/>
      <c r="F26" s="126"/>
      <c r="G26" s="126"/>
      <c r="H26" s="126"/>
      <c r="I26" s="126"/>
      <c r="J26" s="126"/>
      <c r="K26" s="126"/>
      <c r="L26" s="126"/>
      <c r="M26" s="126"/>
      <c r="N26" s="126"/>
      <c r="O26" s="128"/>
      <c r="P26" s="129"/>
      <c r="Q26" s="130">
        <f>IF(COUNTIF($B$8:$B26,$B26)=1,1,0)</f>
        <v>0</v>
      </c>
      <c r="R26" s="131">
        <f>IFERROR((COUNTIF($A:$A,'Client Level Data'!$A26))/COUNTIF($B:$B,$B26),0)</f>
        <v>0</v>
      </c>
      <c r="S26" s="131" t="str">
        <f>IF(SUMIFS($R:$R,$J:$J,"Yes",$B:$B,'Client Level Data'!$B26)&gt;0,"Chronic Flag","")</f>
        <v/>
      </c>
      <c r="T26" s="131" t="str">
        <f>IF(SUMIFS($R:$R,$G:$G,"Yes",$B:$B,'Client Level Data'!$B26)&gt;0,"PY Flag","")</f>
        <v/>
      </c>
      <c r="U26" s="131" t="str">
        <f>IF(SUMIFS($R:$R,$D:$D,"&lt;18",$G:$G,"Yes",$B:$B,'Client Level Data'!$B26)&gt;0,"PY &lt;18",IF(SUMIFS($R:$R,$D:$D,"&gt;17",$D:$D,"&lt;25",$G:$G,"Yes",$B:$B,'Client Level Data'!$B26)&gt;0,"PY &gt;17 &lt;25",""))</f>
        <v/>
      </c>
      <c r="V26" s="131">
        <f>IF('Client Level Data'!$K26="Yes",1,0)+IF('Client Level Data'!$L26="Yes",1,0)+IF('Client Level Data'!$M26="Yes",1,0)</f>
        <v>0</v>
      </c>
      <c r="W26" s="132" t="str">
        <f>IF(SUMIFS($R:$R,$F:$F,"Yes",$B:$B,'Client Level Data'!$B26)&gt;0,"Vet Flag","")</f>
        <v/>
      </c>
      <c r="X26" s="133">
        <f t="shared" si="6"/>
        <v>0</v>
      </c>
      <c r="Y26" s="133" t="e">
        <f t="shared" si="7"/>
        <v>#N/A</v>
      </c>
      <c r="Z26" s="133" t="e">
        <f t="shared" si="0"/>
        <v>#N/A</v>
      </c>
      <c r="AA26" s="133">
        <f t="shared" si="8"/>
        <v>0</v>
      </c>
      <c r="AB26" s="133" t="str">
        <f>IF(SUMIFS($R:$R,$H:$H,"Yes",$B:$B,'Client Level Data'!$B26)&gt;0,"CPY Flag","")</f>
        <v/>
      </c>
      <c r="AC26" s="133" t="str">
        <f t="shared" si="10"/>
        <v>N/A</v>
      </c>
      <c r="AD26" s="133">
        <f t="shared" si="9"/>
        <v>200</v>
      </c>
      <c r="AE26" s="133" t="str">
        <f t="shared" si="1"/>
        <v>Child</v>
      </c>
      <c r="AF26" s="133">
        <f t="shared" si="2"/>
        <v>200</v>
      </c>
      <c r="AG26" s="133" t="str">
        <f t="shared" si="3"/>
        <v>True</v>
      </c>
      <c r="AH26" s="133">
        <f t="shared" si="4"/>
        <v>200</v>
      </c>
      <c r="AI26" s="133" t="str">
        <f t="shared" si="5"/>
        <v>False</v>
      </c>
    </row>
    <row r="27" spans="1:35" ht="15.75" customHeight="1" x14ac:dyDescent="0.25">
      <c r="A27" s="8">
        <v>120</v>
      </c>
      <c r="B27" s="9"/>
      <c r="C27" s="9"/>
      <c r="D27" s="10"/>
      <c r="E27" s="156"/>
      <c r="F27" s="9"/>
      <c r="G27" s="9"/>
      <c r="H27" s="9"/>
      <c r="I27" s="9"/>
      <c r="J27" s="9"/>
      <c r="K27" s="148"/>
      <c r="L27" s="148"/>
      <c r="M27" s="148"/>
      <c r="N27" s="148"/>
      <c r="O27" s="113"/>
      <c r="P27" s="113"/>
      <c r="Q27" s="21">
        <f>IF(COUNTIF($B$8:$B27,$B27)=1,1,0)</f>
        <v>0</v>
      </c>
      <c r="R27" s="22">
        <f>IFERROR((COUNTIF($A:$A,'Client Level Data'!$A27))/COUNTIF($B:$B,$B27),0)</f>
        <v>0</v>
      </c>
      <c r="S27" s="22" t="str">
        <f>IF(SUMIFS($R:$R,$J:$J,"Yes",$B:$B,'Client Level Data'!$B27)&gt;0,"Chronic Flag","")</f>
        <v/>
      </c>
      <c r="T27" s="22" t="str">
        <f>IF(SUMIFS($R:$R,$G:$G,"Yes",$B:$B,'Client Level Data'!$B27)&gt;0,"PY Flag","")</f>
        <v/>
      </c>
      <c r="U27" s="22" t="str">
        <f>IF(SUMIFS($R:$R,$D:$D,"&lt;18",$G:$G,"Yes",$B:$B,'Client Level Data'!$B27)&gt;0,"PY &lt;18",IF(SUMIFS($R:$R,$D:$D,"&gt;17",$D:$D,"&lt;25",$G:$G,"Yes",$B:$B,'Client Level Data'!$B27)&gt;0,"PY &gt;17 &lt;25",""))</f>
        <v/>
      </c>
      <c r="V27" s="22">
        <f>IF('Client Level Data'!$K27="Yes",1,0)+IF('Client Level Data'!$L27="Yes",1,0)+IF('Client Level Data'!$M27="Yes",1,0)</f>
        <v>0</v>
      </c>
      <c r="W27" s="21" t="str">
        <f>IF(SUMIFS($R:$R,$F:$F,"Yes",$B:$B,'Client Level Data'!$B27)&gt;0,"Vet Flag","")</f>
        <v/>
      </c>
      <c r="X27" s="12">
        <f t="shared" si="6"/>
        <v>0</v>
      </c>
      <c r="Y27" s="12" t="e">
        <f t="shared" si="7"/>
        <v>#N/A</v>
      </c>
      <c r="Z27" s="12" t="e">
        <f t="shared" si="0"/>
        <v>#N/A</v>
      </c>
      <c r="AA27" s="12">
        <f t="shared" si="8"/>
        <v>0</v>
      </c>
      <c r="AB27" s="12" t="str">
        <f>IF(SUMIFS($R:$R,$H:$H,"Yes",$B:$B,'Client Level Data'!$B27)&gt;0,"CPY Flag","")</f>
        <v/>
      </c>
      <c r="AC27" s="12" t="str">
        <f t="shared" si="10"/>
        <v>N/A</v>
      </c>
      <c r="AD27" s="12">
        <f t="shared" si="9"/>
        <v>200</v>
      </c>
      <c r="AE27" s="12" t="str">
        <f t="shared" si="1"/>
        <v>Child</v>
      </c>
      <c r="AF27" s="12">
        <f t="shared" si="2"/>
        <v>200</v>
      </c>
      <c r="AG27" s="12" t="str">
        <f t="shared" si="3"/>
        <v>True</v>
      </c>
      <c r="AH27" s="12">
        <f t="shared" si="4"/>
        <v>200</v>
      </c>
      <c r="AI27" s="12" t="str">
        <f t="shared" si="5"/>
        <v>False</v>
      </c>
    </row>
    <row r="28" spans="1:35" s="133" customFormat="1" ht="15.75" customHeight="1" x14ac:dyDescent="0.25">
      <c r="A28" s="125">
        <v>121</v>
      </c>
      <c r="B28" s="126"/>
      <c r="C28" s="126"/>
      <c r="D28" s="127"/>
      <c r="E28" s="157"/>
      <c r="F28" s="126"/>
      <c r="G28" s="126"/>
      <c r="H28" s="126"/>
      <c r="I28" s="126"/>
      <c r="J28" s="126"/>
      <c r="K28" s="126"/>
      <c r="L28" s="126"/>
      <c r="M28" s="126"/>
      <c r="N28" s="126"/>
      <c r="O28" s="134"/>
      <c r="P28" s="135"/>
      <c r="Q28" s="132">
        <f>IF(COUNTIF($B$8:$B28,$B28)=1,1,0)</f>
        <v>0</v>
      </c>
      <c r="R28" s="131">
        <f>IFERROR((COUNTIF($A:$A,'Client Level Data'!$A28))/COUNTIF($B:$B,$B28),0)</f>
        <v>0</v>
      </c>
      <c r="S28" s="131" t="str">
        <f>IF(SUMIFS($R:$R,$J:$J,"Yes",$B:$B,'Client Level Data'!$B28)&gt;0,"Chronic Flag","")</f>
        <v/>
      </c>
      <c r="T28" s="131" t="str">
        <f>IF(SUMIFS($R:$R,$G:$G,"Yes",$B:$B,'Client Level Data'!$B28)&gt;0,"PY Flag","")</f>
        <v/>
      </c>
      <c r="U28" s="131" t="str">
        <f>IF(SUMIFS($R:$R,$D:$D,"&lt;18",$G:$G,"Yes",$B:$B,'Client Level Data'!$B28)&gt;0,"PY &lt;18",IF(SUMIFS($R:$R,$D:$D,"&gt;17",$D:$D,"&lt;25",$G:$G,"Yes",$B:$B,'Client Level Data'!$B28)&gt;0,"PY &gt;17 &lt;25",""))</f>
        <v/>
      </c>
      <c r="V28" s="131">
        <f>IF('Client Level Data'!$K28="Yes",1,0)+IF('Client Level Data'!$L28="Yes",1,0)+IF('Client Level Data'!$M28="Yes",1,0)</f>
        <v>0</v>
      </c>
      <c r="W28" s="132" t="str">
        <f>IF(SUMIFS($R:$R,$F:$F,"Yes",$B:$B,'Client Level Data'!$B28)&gt;0,"Vet Flag","")</f>
        <v/>
      </c>
      <c r="X28" s="133">
        <f t="shared" si="6"/>
        <v>0</v>
      </c>
      <c r="Y28" s="133" t="e">
        <f t="shared" si="7"/>
        <v>#N/A</v>
      </c>
      <c r="Z28" s="133" t="e">
        <f t="shared" si="0"/>
        <v>#N/A</v>
      </c>
      <c r="AA28" s="133">
        <f t="shared" si="8"/>
        <v>0</v>
      </c>
      <c r="AB28" s="133" t="str">
        <f>IF(SUMIFS($R:$R,$H:$H,"Yes",$B:$B,'Client Level Data'!$B28)&gt;0,"CPY Flag","")</f>
        <v/>
      </c>
      <c r="AC28" s="133" t="str">
        <f t="shared" si="10"/>
        <v>N/A</v>
      </c>
      <c r="AD28" s="133">
        <f t="shared" si="9"/>
        <v>200</v>
      </c>
      <c r="AE28" s="133" t="str">
        <f t="shared" si="1"/>
        <v>Child</v>
      </c>
      <c r="AF28" s="133">
        <f t="shared" si="2"/>
        <v>200</v>
      </c>
      <c r="AG28" s="133" t="str">
        <f t="shared" si="3"/>
        <v>True</v>
      </c>
      <c r="AH28" s="133">
        <f t="shared" si="4"/>
        <v>200</v>
      </c>
      <c r="AI28" s="133" t="str">
        <f t="shared" si="5"/>
        <v>False</v>
      </c>
    </row>
    <row r="29" spans="1:35" ht="15.75" customHeight="1" x14ac:dyDescent="0.25">
      <c r="A29" s="8">
        <v>122</v>
      </c>
      <c r="B29" s="9"/>
      <c r="C29" s="9"/>
      <c r="D29" s="10"/>
      <c r="E29" s="156"/>
      <c r="F29" s="9"/>
      <c r="G29" s="9"/>
      <c r="H29" s="9"/>
      <c r="I29" s="9"/>
      <c r="J29" s="9"/>
      <c r="K29" s="148"/>
      <c r="L29" s="148"/>
      <c r="M29" s="148"/>
      <c r="N29" s="148"/>
      <c r="O29" s="110"/>
      <c r="P29" s="111"/>
      <c r="Q29" s="109">
        <f>IF(COUNTIF($B$8:$B29,$B29)=1,1,0)</f>
        <v>0</v>
      </c>
      <c r="R29" s="22">
        <f>IFERROR((COUNTIF($A:$A,'Client Level Data'!$A29))/COUNTIF($B:$B,$B29),0)</f>
        <v>0</v>
      </c>
      <c r="S29" s="22" t="str">
        <f>IF(SUMIFS($R:$R,$J:$J,"Yes",$B:$B,'Client Level Data'!$B29)&gt;0,"Chronic Flag","")</f>
        <v/>
      </c>
      <c r="T29" s="22" t="str">
        <f>IF(SUMIFS($R:$R,$G:$G,"Yes",$B:$B,'Client Level Data'!$B29)&gt;0,"PY Flag","")</f>
        <v/>
      </c>
      <c r="U29" s="22" t="str">
        <f>IF(SUMIFS($R:$R,$D:$D,"&lt;18",$G:$G,"Yes",$B:$B,'Client Level Data'!$B29)&gt;0,"PY &lt;18",IF(SUMIFS($R:$R,$D:$D,"&gt;17",$D:$D,"&lt;25",$G:$G,"Yes",$B:$B,'Client Level Data'!$B29)&gt;0,"PY &gt;17 &lt;25",""))</f>
        <v/>
      </c>
      <c r="V29" s="22">
        <f>IF('Client Level Data'!$K29="Yes",1,0)+IF('Client Level Data'!$L29="Yes",1,0)+IF('Client Level Data'!$M29="Yes",1,0)</f>
        <v>0</v>
      </c>
      <c r="W29" s="21" t="str">
        <f>IF(SUMIFS($R:$R,$F:$F,"Yes",$B:$B,'Client Level Data'!$B29)&gt;0,"Vet Flag","")</f>
        <v/>
      </c>
      <c r="X29" s="12">
        <f t="shared" si="6"/>
        <v>0</v>
      </c>
      <c r="Y29" s="12" t="e">
        <f t="shared" si="7"/>
        <v>#N/A</v>
      </c>
      <c r="Z29" s="12" t="e">
        <f t="shared" si="0"/>
        <v>#N/A</v>
      </c>
      <c r="AA29" s="12">
        <f t="shared" si="8"/>
        <v>0</v>
      </c>
      <c r="AB29" s="12" t="str">
        <f>IF(SUMIFS($R:$R,$H:$H,"Yes",$B:$B,'Client Level Data'!$B29)&gt;0,"CPY Flag","")</f>
        <v/>
      </c>
      <c r="AC29" s="12" t="str">
        <f t="shared" si="10"/>
        <v>N/A</v>
      </c>
      <c r="AD29" s="12">
        <f t="shared" si="9"/>
        <v>200</v>
      </c>
      <c r="AE29" s="12" t="str">
        <f t="shared" si="1"/>
        <v>Child</v>
      </c>
      <c r="AF29" s="12">
        <f t="shared" si="2"/>
        <v>200</v>
      </c>
      <c r="AG29" s="12" t="str">
        <f t="shared" si="3"/>
        <v>True</v>
      </c>
      <c r="AH29" s="12">
        <f t="shared" si="4"/>
        <v>200</v>
      </c>
      <c r="AI29" s="12" t="str">
        <f t="shared" si="5"/>
        <v>False</v>
      </c>
    </row>
    <row r="30" spans="1:35" s="133" customFormat="1" ht="15.75" customHeight="1" x14ac:dyDescent="0.25">
      <c r="A30" s="125">
        <v>123</v>
      </c>
      <c r="B30" s="126"/>
      <c r="C30" s="126"/>
      <c r="D30" s="127"/>
      <c r="E30" s="157"/>
      <c r="F30" s="126"/>
      <c r="G30" s="126"/>
      <c r="H30" s="126"/>
      <c r="I30" s="126"/>
      <c r="J30" s="126"/>
      <c r="K30" s="126"/>
      <c r="L30" s="126"/>
      <c r="M30" s="126"/>
      <c r="N30" s="126"/>
      <c r="O30" s="134"/>
      <c r="P30" s="135"/>
      <c r="Q30" s="132">
        <f>IF(COUNTIF($B$8:$B30,$B30)=1,1,0)</f>
        <v>0</v>
      </c>
      <c r="R30" s="131">
        <f>IFERROR((COUNTIF($A:$A,'Client Level Data'!$A30))/COUNTIF($B:$B,$B30),0)</f>
        <v>0</v>
      </c>
      <c r="S30" s="131" t="str">
        <f>IF(SUMIFS($R:$R,$J:$J,"Yes",$B:$B,'Client Level Data'!$B30)&gt;0,"Chronic Flag","")</f>
        <v/>
      </c>
      <c r="T30" s="131" t="str">
        <f>IF(SUMIFS($R:$R,$G:$G,"Yes",$B:$B,'Client Level Data'!$B30)&gt;0,"PY Flag","")</f>
        <v/>
      </c>
      <c r="U30" s="131" t="str">
        <f>IF(SUMIFS($R:$R,$D:$D,"&lt;18",$G:$G,"Yes",$B:$B,'Client Level Data'!$B30)&gt;0,"PY &lt;18",IF(SUMIFS($R:$R,$D:$D,"&gt;17",$D:$D,"&lt;25",$G:$G,"Yes",$B:$B,'Client Level Data'!$B30)&gt;0,"PY &gt;17 &lt;25",""))</f>
        <v/>
      </c>
      <c r="V30" s="131">
        <f>IF('Client Level Data'!$K30="Yes",1,0)+IF('Client Level Data'!$L30="Yes",1,0)+IF('Client Level Data'!$M30="Yes",1,0)</f>
        <v>0</v>
      </c>
      <c r="W30" s="132" t="str">
        <f>IF(SUMIFS($R:$R,$F:$F,"Yes",$B:$B,'Client Level Data'!$B30)&gt;0,"Vet Flag","")</f>
        <v/>
      </c>
      <c r="X30" s="133">
        <f t="shared" si="6"/>
        <v>0</v>
      </c>
      <c r="Y30" s="133" t="e">
        <f t="shared" si="7"/>
        <v>#N/A</v>
      </c>
      <c r="Z30" s="133" t="e">
        <f t="shared" si="0"/>
        <v>#N/A</v>
      </c>
      <c r="AA30" s="133">
        <f t="shared" si="8"/>
        <v>0</v>
      </c>
      <c r="AB30" s="133" t="str">
        <f>IF(SUMIFS($R:$R,$H:$H,"Yes",$B:$B,'Client Level Data'!$B30)&gt;0,"CPY Flag","")</f>
        <v/>
      </c>
      <c r="AC30" s="133" t="str">
        <f t="shared" si="10"/>
        <v>N/A</v>
      </c>
      <c r="AD30" s="133">
        <f t="shared" si="9"/>
        <v>200</v>
      </c>
      <c r="AE30" s="133" t="str">
        <f t="shared" si="1"/>
        <v>Child</v>
      </c>
      <c r="AF30" s="133">
        <f t="shared" si="2"/>
        <v>200</v>
      </c>
      <c r="AG30" s="133" t="str">
        <f t="shared" si="3"/>
        <v>True</v>
      </c>
      <c r="AH30" s="133">
        <f t="shared" si="4"/>
        <v>200</v>
      </c>
      <c r="AI30" s="133" t="str">
        <f t="shared" si="5"/>
        <v>False</v>
      </c>
    </row>
    <row r="31" spans="1:35" ht="15.75" customHeight="1" x14ac:dyDescent="0.25">
      <c r="A31" s="8">
        <v>124</v>
      </c>
      <c r="B31" s="9"/>
      <c r="C31" s="9"/>
      <c r="D31" s="10"/>
      <c r="E31" s="156"/>
      <c r="F31" s="9"/>
      <c r="G31" s="9"/>
      <c r="H31" s="9"/>
      <c r="I31" s="9"/>
      <c r="J31" s="9"/>
      <c r="K31" s="148"/>
      <c r="L31" s="148"/>
      <c r="M31" s="148"/>
      <c r="N31" s="148"/>
      <c r="O31" s="112"/>
      <c r="P31" s="113"/>
      <c r="Q31" s="21">
        <f>IF(COUNTIF($B$8:$B31,$B31)=1,1,0)</f>
        <v>0</v>
      </c>
      <c r="R31" s="22">
        <f>IFERROR((COUNTIF($A:$A,'Client Level Data'!$A31))/COUNTIF($B:$B,$B31),0)</f>
        <v>0</v>
      </c>
      <c r="S31" s="22" t="str">
        <f>IF(SUMIFS($R:$R,$J:$J,"Yes",$B:$B,'Client Level Data'!$B31)&gt;0,"Chronic Flag","")</f>
        <v/>
      </c>
      <c r="T31" s="22" t="str">
        <f>IF(SUMIFS($R:$R,$G:$G,"Yes",$B:$B,'Client Level Data'!$B31)&gt;0,"PY Flag","")</f>
        <v/>
      </c>
      <c r="U31" s="22" t="str">
        <f>IF(SUMIFS($R:$R,$D:$D,"&lt;18",$G:$G,"Yes",$B:$B,'Client Level Data'!$B31)&gt;0,"PY &lt;18",IF(SUMIFS($R:$R,$D:$D,"&gt;17",$D:$D,"&lt;25",$G:$G,"Yes",$B:$B,'Client Level Data'!$B31)&gt;0,"PY &gt;17 &lt;25",""))</f>
        <v/>
      </c>
      <c r="V31" s="22">
        <f>IF('Client Level Data'!$K31="Yes",1,0)+IF('Client Level Data'!$L31="Yes",1,0)+IF('Client Level Data'!$M31="Yes",1,0)</f>
        <v>0</v>
      </c>
      <c r="W31" s="21" t="str">
        <f>IF(SUMIFS($R:$R,$F:$F,"Yes",$B:$B,'Client Level Data'!$B31)&gt;0,"Vet Flag","")</f>
        <v/>
      </c>
      <c r="X31" s="12">
        <f t="shared" si="6"/>
        <v>0</v>
      </c>
      <c r="Y31" s="12" t="e">
        <f t="shared" si="7"/>
        <v>#N/A</v>
      </c>
      <c r="Z31" s="12" t="e">
        <f t="shared" si="0"/>
        <v>#N/A</v>
      </c>
      <c r="AA31" s="12">
        <f t="shared" si="8"/>
        <v>0</v>
      </c>
      <c r="AB31" s="12" t="str">
        <f>IF(SUMIFS($R:$R,$H:$H,"Yes",$B:$B,'Client Level Data'!$B31)&gt;0,"CPY Flag","")</f>
        <v/>
      </c>
      <c r="AC31" s="12" t="str">
        <f t="shared" si="10"/>
        <v>N/A</v>
      </c>
      <c r="AD31" s="12">
        <f t="shared" si="9"/>
        <v>200</v>
      </c>
      <c r="AE31" s="12" t="str">
        <f t="shared" si="1"/>
        <v>Child</v>
      </c>
      <c r="AF31" s="12">
        <f t="shared" si="2"/>
        <v>200</v>
      </c>
      <c r="AG31" s="12" t="str">
        <f t="shared" si="3"/>
        <v>True</v>
      </c>
      <c r="AH31" s="12">
        <f t="shared" si="4"/>
        <v>200</v>
      </c>
      <c r="AI31" s="12" t="str">
        <f t="shared" si="5"/>
        <v>False</v>
      </c>
    </row>
    <row r="32" spans="1:35" s="133" customFormat="1" ht="15.75" customHeight="1" x14ac:dyDescent="0.25">
      <c r="A32" s="125">
        <v>125</v>
      </c>
      <c r="B32" s="126"/>
      <c r="C32" s="126"/>
      <c r="D32" s="127"/>
      <c r="E32" s="157"/>
      <c r="F32" s="126"/>
      <c r="G32" s="126"/>
      <c r="H32" s="126"/>
      <c r="I32" s="126"/>
      <c r="J32" s="126"/>
      <c r="K32" s="126"/>
      <c r="L32" s="126"/>
      <c r="M32" s="126"/>
      <c r="N32" s="126"/>
      <c r="O32" s="134"/>
      <c r="P32" s="135"/>
      <c r="Q32" s="132">
        <f>IF(COUNTIF($B$8:$B32,$B32)=1,1,0)</f>
        <v>0</v>
      </c>
      <c r="R32" s="131">
        <f>IFERROR((COUNTIF($A:$A,'Client Level Data'!$A32))/COUNTIF($B:$B,$B32),0)</f>
        <v>0</v>
      </c>
      <c r="S32" s="131" t="str">
        <f>IF(SUMIFS($R:$R,$J:$J,"Yes",$B:$B,'Client Level Data'!$B32)&gt;0,"Chronic Flag","")</f>
        <v/>
      </c>
      <c r="T32" s="131" t="str">
        <f>IF(SUMIFS($R:$R,$G:$G,"Yes",$B:$B,'Client Level Data'!$B32)&gt;0,"PY Flag","")</f>
        <v/>
      </c>
      <c r="U32" s="131" t="str">
        <f>IF(SUMIFS($R:$R,$D:$D,"&lt;18",$G:$G,"Yes",$B:$B,'Client Level Data'!$B32)&gt;0,"PY &lt;18",IF(SUMIFS($R:$R,$D:$D,"&gt;17",$D:$D,"&lt;25",$G:$G,"Yes",$B:$B,'Client Level Data'!$B32)&gt;0,"PY &gt;17 &lt;25",""))</f>
        <v/>
      </c>
      <c r="V32" s="131">
        <f>IF('Client Level Data'!$K32="Yes",1,0)+IF('Client Level Data'!$L32="Yes",1,0)+IF('Client Level Data'!$M32="Yes",1,0)</f>
        <v>0</v>
      </c>
      <c r="W32" s="132" t="str">
        <f>IF(SUMIFS($R:$R,$F:$F,"Yes",$B:$B,'Client Level Data'!$B32)&gt;0,"Vet Flag","")</f>
        <v/>
      </c>
      <c r="X32" s="133">
        <f t="shared" si="6"/>
        <v>0</v>
      </c>
      <c r="Y32" s="133" t="e">
        <f t="shared" si="7"/>
        <v>#N/A</v>
      </c>
      <c r="Z32" s="133" t="e">
        <f t="shared" si="0"/>
        <v>#N/A</v>
      </c>
      <c r="AA32" s="133">
        <f t="shared" si="8"/>
        <v>0</v>
      </c>
      <c r="AB32" s="133" t="str">
        <f>IF(SUMIFS($R:$R,$H:$H,"Yes",$B:$B,'Client Level Data'!$B32)&gt;0,"CPY Flag","")</f>
        <v/>
      </c>
      <c r="AC32" s="133" t="str">
        <f t="shared" si="10"/>
        <v>N/A</v>
      </c>
      <c r="AD32" s="133">
        <f t="shared" si="9"/>
        <v>200</v>
      </c>
      <c r="AE32" s="133" t="str">
        <f t="shared" si="1"/>
        <v>Child</v>
      </c>
      <c r="AF32" s="133">
        <f t="shared" si="2"/>
        <v>200</v>
      </c>
      <c r="AG32" s="133" t="str">
        <f t="shared" si="3"/>
        <v>True</v>
      </c>
      <c r="AH32" s="133">
        <f t="shared" si="4"/>
        <v>200</v>
      </c>
      <c r="AI32" s="133" t="str">
        <f t="shared" si="5"/>
        <v>False</v>
      </c>
    </row>
    <row r="33" spans="1:35" ht="15.75" customHeight="1" x14ac:dyDescent="0.25">
      <c r="A33" s="8">
        <v>126</v>
      </c>
      <c r="B33" s="9"/>
      <c r="C33" s="9"/>
      <c r="D33" s="10"/>
      <c r="E33" s="156"/>
      <c r="F33" s="9"/>
      <c r="G33" s="9"/>
      <c r="H33" s="9"/>
      <c r="I33" s="9"/>
      <c r="J33" s="9"/>
      <c r="K33" s="148"/>
      <c r="L33" s="148"/>
      <c r="M33" s="148"/>
      <c r="N33" s="148"/>
      <c r="O33" s="112"/>
      <c r="P33" s="113"/>
      <c r="Q33" s="21">
        <f>IF(COUNTIF($B$8:$B33,$B33)=1,1,0)</f>
        <v>0</v>
      </c>
      <c r="R33" s="22">
        <f>IFERROR((COUNTIF($A:$A,'Client Level Data'!$A33))/COUNTIF($B:$B,$B33),0)</f>
        <v>0</v>
      </c>
      <c r="S33" s="22" t="str">
        <f>IF(SUMIFS($R:$R,$J:$J,"Yes",$B:$B,'Client Level Data'!$B33)&gt;0,"Chronic Flag","")</f>
        <v/>
      </c>
      <c r="T33" s="22" t="str">
        <f>IF(SUMIFS($R:$R,$G:$G,"Yes",$B:$B,'Client Level Data'!$B33)&gt;0,"PY Flag","")</f>
        <v/>
      </c>
      <c r="U33" s="22" t="str">
        <f>IF(SUMIFS($R:$R,$D:$D,"&lt;18",$G:$G,"Yes",$B:$B,'Client Level Data'!$B33)&gt;0,"PY &lt;18",IF(SUMIFS($R:$R,$D:$D,"&gt;17",$D:$D,"&lt;25",$G:$G,"Yes",$B:$B,'Client Level Data'!$B33)&gt;0,"PY &gt;17 &lt;25",""))</f>
        <v/>
      </c>
      <c r="V33" s="22">
        <f>IF('Client Level Data'!$K33="Yes",1,0)+IF('Client Level Data'!$L33="Yes",1,0)+IF('Client Level Data'!$M33="Yes",1,0)</f>
        <v>0</v>
      </c>
      <c r="W33" s="21" t="str">
        <f>IF(SUMIFS($R:$R,$F:$F,"Yes",$B:$B,'Client Level Data'!$B33)&gt;0,"Vet Flag","")</f>
        <v/>
      </c>
      <c r="X33" s="12">
        <f t="shared" si="6"/>
        <v>0</v>
      </c>
      <c r="Y33" s="12" t="e">
        <f t="shared" si="7"/>
        <v>#N/A</v>
      </c>
      <c r="Z33" s="12" t="e">
        <f t="shared" si="0"/>
        <v>#N/A</v>
      </c>
      <c r="AA33" s="12">
        <f t="shared" si="8"/>
        <v>0</v>
      </c>
      <c r="AB33" s="12" t="str">
        <f>IF(SUMIFS($R:$R,$H:$H,"Yes",$B:$B,'Client Level Data'!$B33)&gt;0,"CPY Flag","")</f>
        <v/>
      </c>
      <c r="AC33" s="12" t="str">
        <f t="shared" si="10"/>
        <v>N/A</v>
      </c>
      <c r="AD33" s="12">
        <f t="shared" si="9"/>
        <v>200</v>
      </c>
      <c r="AE33" s="12" t="str">
        <f t="shared" si="1"/>
        <v>Child</v>
      </c>
      <c r="AF33" s="12">
        <f t="shared" si="2"/>
        <v>200</v>
      </c>
      <c r="AG33" s="12" t="str">
        <f t="shared" si="3"/>
        <v>True</v>
      </c>
      <c r="AH33" s="12">
        <f t="shared" si="4"/>
        <v>200</v>
      </c>
      <c r="AI33" s="12" t="str">
        <f t="shared" si="5"/>
        <v>False</v>
      </c>
    </row>
    <row r="34" spans="1:35" s="133" customFormat="1" ht="15.75" customHeight="1" x14ac:dyDescent="0.25">
      <c r="A34" s="125">
        <v>127</v>
      </c>
      <c r="B34" s="126"/>
      <c r="C34" s="126"/>
      <c r="D34" s="127"/>
      <c r="E34" s="157"/>
      <c r="F34" s="126"/>
      <c r="G34" s="126"/>
      <c r="H34" s="126"/>
      <c r="I34" s="126"/>
      <c r="J34" s="126"/>
      <c r="K34" s="126"/>
      <c r="L34" s="126"/>
      <c r="M34" s="126"/>
      <c r="N34" s="126"/>
      <c r="O34" s="134"/>
      <c r="P34" s="135"/>
      <c r="Q34" s="132">
        <f>IF(COUNTIF($B$8:$B34,$B34)=1,1,0)</f>
        <v>0</v>
      </c>
      <c r="R34" s="131">
        <f>IFERROR((COUNTIF($A:$A,'Client Level Data'!$A34))/COUNTIF($B:$B,$B34),0)</f>
        <v>0</v>
      </c>
      <c r="S34" s="131" t="str">
        <f>IF(SUMIFS($R:$R,$J:$J,"Yes",$B:$B,'Client Level Data'!$B34)&gt;0,"Chronic Flag","")</f>
        <v/>
      </c>
      <c r="T34" s="131" t="str">
        <f>IF(SUMIFS($R:$R,$G:$G,"Yes",$B:$B,'Client Level Data'!$B34)&gt;0,"PY Flag","")</f>
        <v/>
      </c>
      <c r="U34" s="131" t="str">
        <f>IF(SUMIFS($R:$R,$D:$D,"&lt;18",$G:$G,"Yes",$B:$B,'Client Level Data'!$B34)&gt;0,"PY &lt;18",IF(SUMIFS($R:$R,$D:$D,"&gt;17",$D:$D,"&lt;25",$G:$G,"Yes",$B:$B,'Client Level Data'!$B34)&gt;0,"PY &gt;17 &lt;25",""))</f>
        <v/>
      </c>
      <c r="V34" s="131">
        <f>IF('Client Level Data'!$K34="Yes",1,0)+IF('Client Level Data'!$L34="Yes",1,0)+IF('Client Level Data'!$M34="Yes",1,0)</f>
        <v>0</v>
      </c>
      <c r="W34" s="132" t="str">
        <f>IF(SUMIFS($R:$R,$F:$F,"Yes",$B:$B,'Client Level Data'!$B34)&gt;0,"Vet Flag","")</f>
        <v/>
      </c>
      <c r="X34" s="133">
        <f t="shared" si="6"/>
        <v>0</v>
      </c>
      <c r="Y34" s="133" t="e">
        <f t="shared" si="7"/>
        <v>#N/A</v>
      </c>
      <c r="Z34" s="133" t="e">
        <f t="shared" si="0"/>
        <v>#N/A</v>
      </c>
      <c r="AA34" s="133">
        <f t="shared" si="8"/>
        <v>0</v>
      </c>
      <c r="AB34" s="133" t="str">
        <f>IF(SUMIFS($R:$R,$H:$H,"Yes",$B:$B,'Client Level Data'!$B34)&gt;0,"CPY Flag","")</f>
        <v/>
      </c>
      <c r="AC34" s="133" t="str">
        <f t="shared" si="10"/>
        <v>N/A</v>
      </c>
      <c r="AD34" s="133">
        <f t="shared" si="9"/>
        <v>200</v>
      </c>
      <c r="AE34" s="133" t="str">
        <f t="shared" si="1"/>
        <v>Child</v>
      </c>
      <c r="AF34" s="133">
        <f t="shared" si="2"/>
        <v>200</v>
      </c>
      <c r="AG34" s="133" t="str">
        <f t="shared" si="3"/>
        <v>True</v>
      </c>
      <c r="AH34" s="133">
        <f t="shared" si="4"/>
        <v>200</v>
      </c>
      <c r="AI34" s="133" t="str">
        <f t="shared" si="5"/>
        <v>False</v>
      </c>
    </row>
    <row r="35" spans="1:35" ht="15.75" customHeight="1" x14ac:dyDescent="0.25">
      <c r="A35" s="8">
        <v>128</v>
      </c>
      <c r="B35" s="9"/>
      <c r="C35" s="9"/>
      <c r="D35" s="10"/>
      <c r="E35" s="156"/>
      <c r="F35" s="9"/>
      <c r="G35" s="9"/>
      <c r="H35" s="9"/>
      <c r="I35" s="9"/>
      <c r="J35" s="9"/>
      <c r="K35" s="148"/>
      <c r="L35" s="148"/>
      <c r="M35" s="148"/>
      <c r="N35" s="148"/>
      <c r="O35" s="11"/>
      <c r="P35" s="11"/>
      <c r="Q35" s="21">
        <f>IF(COUNTIF($B$8:$B35,$B35)=1,1,0)</f>
        <v>0</v>
      </c>
      <c r="R35" s="22">
        <f>IFERROR((COUNTIF($A:$A,'Client Level Data'!$A35))/COUNTIF($B:$B,$B35),0)</f>
        <v>0</v>
      </c>
      <c r="S35" s="22" t="str">
        <f>IF(SUMIFS($R:$R,$J:$J,"Yes",$B:$B,'Client Level Data'!$B35)&gt;0,"Chronic Flag","")</f>
        <v/>
      </c>
      <c r="T35" s="22" t="str">
        <f>IF(SUMIFS($R:$R,$G:$G,"Yes",$B:$B,'Client Level Data'!$B35)&gt;0,"PY Flag","")</f>
        <v/>
      </c>
      <c r="U35" s="22" t="str">
        <f>IF(SUMIFS($R:$R,$D:$D,"&lt;18",$G:$G,"Yes",$B:$B,'Client Level Data'!$B35)&gt;0,"PY &lt;18",IF(SUMIFS($R:$R,$D:$D,"&gt;17",$D:$D,"&lt;25",$G:$G,"Yes",$B:$B,'Client Level Data'!$B35)&gt;0,"PY &gt;17 &lt;25",""))</f>
        <v/>
      </c>
      <c r="V35" s="22">
        <f>IF('Client Level Data'!$K35="Yes",1,0)+IF('Client Level Data'!$L35="Yes",1,0)+IF('Client Level Data'!$M35="Yes",1,0)</f>
        <v>0</v>
      </c>
      <c r="W35" s="21" t="str">
        <f>IF(SUMIFS($R:$R,$F:$F,"Yes",$B:$B,'Client Level Data'!$B35)&gt;0,"Vet Flag","")</f>
        <v/>
      </c>
      <c r="X35" s="12">
        <f t="shared" si="6"/>
        <v>0</v>
      </c>
      <c r="Y35" s="12" t="e">
        <f t="shared" si="7"/>
        <v>#N/A</v>
      </c>
      <c r="Z35" s="12" t="e">
        <f t="shared" si="0"/>
        <v>#N/A</v>
      </c>
      <c r="AA35" s="12">
        <f t="shared" si="8"/>
        <v>0</v>
      </c>
      <c r="AB35" s="12" t="str">
        <f>IF(SUMIFS($R:$R,$H:$H,"Yes",$B:$B,'Client Level Data'!$B35)&gt;0,"CPY Flag","")</f>
        <v/>
      </c>
      <c r="AC35" s="12" t="str">
        <f t="shared" si="10"/>
        <v>N/A</v>
      </c>
      <c r="AD35" s="12">
        <f t="shared" si="9"/>
        <v>200</v>
      </c>
      <c r="AE35" s="12" t="str">
        <f t="shared" si="1"/>
        <v>Child</v>
      </c>
      <c r="AF35" s="12">
        <f t="shared" si="2"/>
        <v>200</v>
      </c>
      <c r="AG35" s="12" t="str">
        <f t="shared" si="3"/>
        <v>True</v>
      </c>
      <c r="AH35" s="12">
        <f t="shared" si="4"/>
        <v>200</v>
      </c>
      <c r="AI35" s="12" t="str">
        <f t="shared" si="5"/>
        <v>False</v>
      </c>
    </row>
    <row r="36" spans="1:35" s="133" customFormat="1" ht="15.75" customHeight="1" x14ac:dyDescent="0.25">
      <c r="A36" s="125">
        <v>129</v>
      </c>
      <c r="B36" s="126"/>
      <c r="C36" s="126"/>
      <c r="D36" s="127"/>
      <c r="E36" s="157"/>
      <c r="F36" s="126"/>
      <c r="G36" s="126"/>
      <c r="H36" s="126"/>
      <c r="I36" s="126"/>
      <c r="J36" s="126"/>
      <c r="K36" s="126"/>
      <c r="L36" s="126"/>
      <c r="M36" s="126"/>
      <c r="N36" s="126"/>
      <c r="O36" s="128"/>
      <c r="P36" s="129"/>
      <c r="Q36" s="130">
        <f>IF(COUNTIF($B$8:$B36,$B36)=1,1,0)</f>
        <v>0</v>
      </c>
      <c r="R36" s="131">
        <f>IFERROR((COUNTIF($A:$A,'Client Level Data'!$A36))/COUNTIF($B:$B,$B36),0)</f>
        <v>0</v>
      </c>
      <c r="S36" s="131" t="str">
        <f>IF(SUMIFS($R:$R,$J:$J,"Yes",$B:$B,'Client Level Data'!$B36)&gt;0,"Chronic Flag","")</f>
        <v/>
      </c>
      <c r="T36" s="131" t="str">
        <f>IF(SUMIFS($R:$R,$G:$G,"Yes",$B:$B,'Client Level Data'!$B36)&gt;0,"PY Flag","")</f>
        <v/>
      </c>
      <c r="U36" s="131" t="str">
        <f>IF(SUMIFS($R:$R,$D:$D,"&lt;18",$G:$G,"Yes",$B:$B,'Client Level Data'!$B36)&gt;0,"PY &lt;18",IF(SUMIFS($R:$R,$D:$D,"&gt;17",$D:$D,"&lt;25",$G:$G,"Yes",$B:$B,'Client Level Data'!$B36)&gt;0,"PY &gt;17 &lt;25",""))</f>
        <v/>
      </c>
      <c r="V36" s="131">
        <f>IF('Client Level Data'!$K36="Yes",1,0)+IF('Client Level Data'!$L36="Yes",1,0)+IF('Client Level Data'!$M36="Yes",1,0)</f>
        <v>0</v>
      </c>
      <c r="W36" s="132" t="str">
        <f>IF(SUMIFS($R:$R,$F:$F,"Yes",$B:$B,'Client Level Data'!$B36)&gt;0,"Vet Flag","")</f>
        <v/>
      </c>
      <c r="X36" s="133">
        <f t="shared" si="6"/>
        <v>0</v>
      </c>
      <c r="Y36" s="133" t="e">
        <f t="shared" si="7"/>
        <v>#N/A</v>
      </c>
      <c r="Z36" s="133" t="e">
        <f t="shared" si="0"/>
        <v>#N/A</v>
      </c>
      <c r="AA36" s="133">
        <f t="shared" si="8"/>
        <v>0</v>
      </c>
      <c r="AB36" s="133" t="str">
        <f>IF(SUMIFS($R:$R,$H:$H,"Yes",$B:$B,'Client Level Data'!$B36)&gt;0,"CPY Flag","")</f>
        <v/>
      </c>
      <c r="AC36" s="133" t="str">
        <f t="shared" si="10"/>
        <v>N/A</v>
      </c>
      <c r="AD36" s="133">
        <f t="shared" si="9"/>
        <v>200</v>
      </c>
      <c r="AE36" s="133" t="str">
        <f t="shared" si="1"/>
        <v>Child</v>
      </c>
      <c r="AF36" s="133">
        <f t="shared" si="2"/>
        <v>200</v>
      </c>
      <c r="AG36" s="133" t="str">
        <f t="shared" si="3"/>
        <v>True</v>
      </c>
      <c r="AH36" s="133">
        <f t="shared" si="4"/>
        <v>200</v>
      </c>
      <c r="AI36" s="133" t="str">
        <f t="shared" si="5"/>
        <v>False</v>
      </c>
    </row>
    <row r="37" spans="1:35" ht="15.75" customHeight="1" x14ac:dyDescent="0.25">
      <c r="A37" s="8">
        <v>130</v>
      </c>
      <c r="B37" s="9"/>
      <c r="C37" s="9"/>
      <c r="D37" s="10"/>
      <c r="E37" s="156"/>
      <c r="F37" s="9"/>
      <c r="G37" s="9"/>
      <c r="H37" s="9"/>
      <c r="I37" s="9"/>
      <c r="J37" s="9"/>
      <c r="K37" s="148"/>
      <c r="L37" s="148"/>
      <c r="M37" s="148"/>
      <c r="N37" s="148"/>
      <c r="O37" s="112"/>
      <c r="P37" s="113"/>
      <c r="Q37" s="21">
        <f>IF(COUNTIF($B$8:$B37,$B37)=1,1,0)</f>
        <v>0</v>
      </c>
      <c r="R37" s="22">
        <f>IFERROR((COUNTIF($A:$A,'Client Level Data'!$A37))/COUNTIF($B:$B,$B37),0)</f>
        <v>0</v>
      </c>
      <c r="S37" s="22" t="str">
        <f>IF(SUMIFS($R:$R,$J:$J,"Yes",$B:$B,'Client Level Data'!$B37)&gt;0,"Chronic Flag","")</f>
        <v/>
      </c>
      <c r="T37" s="22" t="str">
        <f>IF(SUMIFS($R:$R,$G:$G,"Yes",$B:$B,'Client Level Data'!$B37)&gt;0,"PY Flag","")</f>
        <v/>
      </c>
      <c r="U37" s="22" t="str">
        <f>IF(SUMIFS($R:$R,$D:$D,"&lt;18",$G:$G,"Yes",$B:$B,'Client Level Data'!$B37)&gt;0,"PY &lt;18",IF(SUMIFS($R:$R,$D:$D,"&gt;17",$D:$D,"&lt;25",$G:$G,"Yes",$B:$B,'Client Level Data'!$B37)&gt;0,"PY &gt;17 &lt;25",""))</f>
        <v/>
      </c>
      <c r="V37" s="22">
        <f>IF('Client Level Data'!$K37="Yes",1,0)+IF('Client Level Data'!$L37="Yes",1,0)+IF('Client Level Data'!$M37="Yes",1,0)</f>
        <v>0</v>
      </c>
      <c r="W37" s="21" t="str">
        <f>IF(SUMIFS($R:$R,$F:$F,"Yes",$B:$B,'Client Level Data'!$B37)&gt;0,"Vet Flag","")</f>
        <v/>
      </c>
      <c r="X37" s="12">
        <f t="shared" si="6"/>
        <v>0</v>
      </c>
      <c r="Y37" s="12" t="e">
        <f t="shared" si="7"/>
        <v>#N/A</v>
      </c>
      <c r="Z37" s="12" t="e">
        <f t="shared" si="0"/>
        <v>#N/A</v>
      </c>
      <c r="AA37" s="12">
        <f t="shared" si="8"/>
        <v>0</v>
      </c>
      <c r="AB37" s="12" t="str">
        <f>IF(SUMIFS($R:$R,$H:$H,"Yes",$B:$B,'Client Level Data'!$B37)&gt;0,"CPY Flag","")</f>
        <v/>
      </c>
      <c r="AC37" s="12" t="str">
        <f t="shared" si="10"/>
        <v>N/A</v>
      </c>
      <c r="AD37" s="12">
        <f t="shared" si="9"/>
        <v>200</v>
      </c>
      <c r="AE37" s="12" t="str">
        <f t="shared" si="1"/>
        <v>Child</v>
      </c>
      <c r="AF37" s="12">
        <f t="shared" si="2"/>
        <v>200</v>
      </c>
      <c r="AG37" s="12" t="str">
        <f t="shared" si="3"/>
        <v>True</v>
      </c>
      <c r="AH37" s="12">
        <f t="shared" si="4"/>
        <v>200</v>
      </c>
      <c r="AI37" s="12" t="str">
        <f t="shared" si="5"/>
        <v>False</v>
      </c>
    </row>
    <row r="38" spans="1:35" s="133" customFormat="1" ht="15.75" customHeight="1" x14ac:dyDescent="0.25">
      <c r="A38" s="125">
        <v>131</v>
      </c>
      <c r="B38" s="126"/>
      <c r="C38" s="126"/>
      <c r="D38" s="127"/>
      <c r="E38" s="157"/>
      <c r="F38" s="126"/>
      <c r="G38" s="126"/>
      <c r="H38" s="126"/>
      <c r="I38" s="126"/>
      <c r="J38" s="126"/>
      <c r="K38" s="126"/>
      <c r="L38" s="126"/>
      <c r="M38" s="126"/>
      <c r="N38" s="126"/>
      <c r="O38" s="134"/>
      <c r="P38" s="135"/>
      <c r="Q38" s="132">
        <f>IF(COUNTIF($B$8:$B38,$B38)=1,1,0)</f>
        <v>0</v>
      </c>
      <c r="R38" s="131">
        <f>IFERROR((COUNTIF($A:$A,'Client Level Data'!$A38))/COUNTIF($B:$B,$B38),0)</f>
        <v>0</v>
      </c>
      <c r="S38" s="131" t="str">
        <f>IF(SUMIFS($R:$R,$J:$J,"Yes",$B:$B,'Client Level Data'!$B38)&gt;0,"Chronic Flag","")</f>
        <v/>
      </c>
      <c r="T38" s="131" t="str">
        <f>IF(SUMIFS($R:$R,$G:$G,"Yes",$B:$B,'Client Level Data'!$B38)&gt;0,"PY Flag","")</f>
        <v/>
      </c>
      <c r="U38" s="131" t="str">
        <f>IF(SUMIFS($R:$R,$D:$D,"&lt;18",$G:$G,"Yes",$B:$B,'Client Level Data'!$B38)&gt;0,"PY &lt;18",IF(SUMIFS($R:$R,$D:$D,"&gt;17",$D:$D,"&lt;25",$G:$G,"Yes",$B:$B,'Client Level Data'!$B38)&gt;0,"PY &gt;17 &lt;25",""))</f>
        <v/>
      </c>
      <c r="V38" s="131">
        <f>IF('Client Level Data'!$K38="Yes",1,0)+IF('Client Level Data'!$L38="Yes",1,0)+IF('Client Level Data'!$M38="Yes",1,0)</f>
        <v>0</v>
      </c>
      <c r="W38" s="132" t="str">
        <f>IF(SUMIFS($R:$R,$F:$F,"Yes",$B:$B,'Client Level Data'!$B38)&gt;0,"Vet Flag","")</f>
        <v/>
      </c>
      <c r="X38" s="133">
        <f t="shared" si="6"/>
        <v>0</v>
      </c>
      <c r="Y38" s="133" t="e">
        <f t="shared" si="7"/>
        <v>#N/A</v>
      </c>
      <c r="Z38" s="133" t="e">
        <f t="shared" si="0"/>
        <v>#N/A</v>
      </c>
      <c r="AA38" s="133">
        <f t="shared" si="8"/>
        <v>0</v>
      </c>
      <c r="AB38" s="133" t="str">
        <f>IF(SUMIFS($R:$R,$H:$H,"Yes",$B:$B,'Client Level Data'!$B38)&gt;0,"CPY Flag","")</f>
        <v/>
      </c>
      <c r="AC38" s="133" t="str">
        <f t="shared" si="10"/>
        <v>N/A</v>
      </c>
      <c r="AD38" s="133">
        <f t="shared" si="9"/>
        <v>200</v>
      </c>
      <c r="AE38" s="133" t="str">
        <f t="shared" si="1"/>
        <v>Child</v>
      </c>
      <c r="AF38" s="133">
        <f t="shared" si="2"/>
        <v>200</v>
      </c>
      <c r="AG38" s="133" t="str">
        <f t="shared" si="3"/>
        <v>True</v>
      </c>
      <c r="AH38" s="133">
        <f t="shared" si="4"/>
        <v>200</v>
      </c>
      <c r="AI38" s="133" t="str">
        <f t="shared" si="5"/>
        <v>False</v>
      </c>
    </row>
    <row r="39" spans="1:35" ht="15.75" customHeight="1" x14ac:dyDescent="0.25">
      <c r="A39" s="8">
        <v>132</v>
      </c>
      <c r="B39" s="9"/>
      <c r="C39" s="9"/>
      <c r="D39" s="10"/>
      <c r="E39" s="156"/>
      <c r="F39" s="9"/>
      <c r="G39" s="9"/>
      <c r="H39" s="9"/>
      <c r="I39" s="9"/>
      <c r="J39" s="9"/>
      <c r="K39" s="148"/>
      <c r="L39" s="148"/>
      <c r="M39" s="148"/>
      <c r="N39" s="148"/>
      <c r="O39" s="11"/>
      <c r="P39" s="113"/>
      <c r="Q39" s="21">
        <f>IF(COUNTIF($B$8:$B39,$B39)=1,1,0)</f>
        <v>0</v>
      </c>
      <c r="R39" s="22">
        <f>IFERROR((COUNTIF($A:$A,'Client Level Data'!$A39))/COUNTIF($B:$B,$B39),0)</f>
        <v>0</v>
      </c>
      <c r="S39" s="22" t="str">
        <f>IF(SUMIFS($R:$R,$J:$J,"Yes",$B:$B,'Client Level Data'!$B39)&gt;0,"Chronic Flag","")</f>
        <v/>
      </c>
      <c r="T39" s="22" t="str">
        <f>IF(SUMIFS($R:$R,$G:$G,"Yes",$B:$B,'Client Level Data'!$B39)&gt;0,"PY Flag","")</f>
        <v/>
      </c>
      <c r="U39" s="22" t="str">
        <f>IF(SUMIFS($R:$R,$D:$D,"&lt;18",$G:$G,"Yes",$B:$B,'Client Level Data'!$B39)&gt;0,"PY &lt;18",IF(SUMIFS($R:$R,$D:$D,"&gt;17",$D:$D,"&lt;25",$G:$G,"Yes",$B:$B,'Client Level Data'!$B39)&gt;0,"PY &gt;17 &lt;25",""))</f>
        <v/>
      </c>
      <c r="V39" s="22">
        <f>IF('Client Level Data'!$K39="Yes",1,0)+IF('Client Level Data'!$L39="Yes",1,0)+IF('Client Level Data'!$M39="Yes",1,0)</f>
        <v>0</v>
      </c>
      <c r="W39" s="21" t="str">
        <f>IF(SUMIFS($R:$R,$F:$F,"Yes",$B:$B,'Client Level Data'!$B39)&gt;0,"Vet Flag","")</f>
        <v/>
      </c>
      <c r="X39" s="12">
        <f t="shared" si="6"/>
        <v>0</v>
      </c>
      <c r="Y39" s="12" t="e">
        <f t="shared" si="7"/>
        <v>#N/A</v>
      </c>
      <c r="Z39" s="12" t="e">
        <f t="shared" si="0"/>
        <v>#N/A</v>
      </c>
      <c r="AA39" s="12">
        <f t="shared" si="8"/>
        <v>0</v>
      </c>
      <c r="AB39" s="12" t="str">
        <f>IF(SUMIFS($R:$R,$H:$H,"Yes",$B:$B,'Client Level Data'!$B39)&gt;0,"CPY Flag","")</f>
        <v/>
      </c>
      <c r="AC39" s="12" t="str">
        <f t="shared" si="10"/>
        <v>N/A</v>
      </c>
      <c r="AD39" s="12">
        <f t="shared" si="9"/>
        <v>200</v>
      </c>
      <c r="AE39" s="12" t="str">
        <f t="shared" si="1"/>
        <v>Child</v>
      </c>
      <c r="AF39" s="12">
        <f t="shared" si="2"/>
        <v>200</v>
      </c>
      <c r="AG39" s="12" t="str">
        <f t="shared" si="3"/>
        <v>True</v>
      </c>
      <c r="AH39" s="12">
        <f t="shared" si="4"/>
        <v>200</v>
      </c>
      <c r="AI39" s="12" t="str">
        <f t="shared" si="5"/>
        <v>False</v>
      </c>
    </row>
    <row r="40" spans="1:35" s="133" customFormat="1" ht="15.75" customHeight="1" x14ac:dyDescent="0.25">
      <c r="A40" s="125">
        <v>133</v>
      </c>
      <c r="B40" s="126"/>
      <c r="C40" s="126"/>
      <c r="D40" s="127"/>
      <c r="E40" s="157"/>
      <c r="F40" s="126"/>
      <c r="G40" s="126"/>
      <c r="H40" s="126"/>
      <c r="I40" s="126"/>
      <c r="J40" s="126"/>
      <c r="K40" s="126"/>
      <c r="L40" s="126"/>
      <c r="M40" s="126"/>
      <c r="N40" s="126"/>
      <c r="O40" s="137"/>
      <c r="P40" s="135"/>
      <c r="Q40" s="132">
        <f>IF(COUNTIF($B$8:$B40,$B40)=1,1,0)</f>
        <v>0</v>
      </c>
      <c r="R40" s="131">
        <f>IFERROR((COUNTIF($A:$A,'Client Level Data'!$A40))/COUNTIF($B:$B,$B40),0)</f>
        <v>0</v>
      </c>
      <c r="S40" s="131" t="str">
        <f>IF(SUMIFS($R:$R,$J:$J,"Yes",$B:$B,'Client Level Data'!$B40)&gt;0,"Chronic Flag","")</f>
        <v/>
      </c>
      <c r="T40" s="131" t="str">
        <f>IF(SUMIFS($R:$R,$G:$G,"Yes",$B:$B,'Client Level Data'!$B40)&gt;0,"PY Flag","")</f>
        <v/>
      </c>
      <c r="U40" s="131" t="str">
        <f>IF(SUMIFS($R:$R,$D:$D,"&lt;18",$G:$G,"Yes",$B:$B,'Client Level Data'!$B40)&gt;0,"PY &lt;18",IF(SUMIFS($R:$R,$D:$D,"&gt;17",$D:$D,"&lt;25",$G:$G,"Yes",$B:$B,'Client Level Data'!$B40)&gt;0,"PY &gt;17 &lt;25",""))</f>
        <v/>
      </c>
      <c r="V40" s="131">
        <f>IF('Client Level Data'!$K40="Yes",1,0)+IF('Client Level Data'!$L40="Yes",1,0)+IF('Client Level Data'!$M40="Yes",1,0)</f>
        <v>0</v>
      </c>
      <c r="W40" s="132" t="str">
        <f>IF(SUMIFS($R:$R,$F:$F,"Yes",$B:$B,'Client Level Data'!$B40)&gt;0,"Vet Flag","")</f>
        <v/>
      </c>
      <c r="X40" s="133">
        <f t="shared" ref="X40:X71" si="11">IF(R40&lt;1, B40, "Single")</f>
        <v>0</v>
      </c>
      <c r="Y40" s="133" t="e">
        <f t="shared" ref="Y40:Y71" si="12">IF(X40="Single", "Single", INDEX(C:C, MATCH(X40, B:B, 0)))</f>
        <v>#N/A</v>
      </c>
      <c r="Z40" s="133" t="e">
        <f t="shared" ref="Z40:Z71" si="13">IF(AND(NOT(ISBLANK(C40)), C40=Y40, R40&lt;1), "Yes", IF(Y40="Single", "N/A", "No"))</f>
        <v>#N/A</v>
      </c>
      <c r="AA40" s="133">
        <f t="shared" ref="AA40:AA71" si="14">COUNTIFS(X:X, X40, Z:Z, "No")</f>
        <v>0</v>
      </c>
      <c r="AB40" s="133" t="str">
        <f>IF(SUMIFS($R:$R,$H:$H,"Yes",$B:$B,'Client Level Data'!$B40)&gt;0,"CPY Flag","")</f>
        <v/>
      </c>
      <c r="AC40" s="133" t="str">
        <f t="shared" ref="AC40:AC71" si="15">IF(AND(T40="PY Flag",AB40="CPY Flag"),"Yes",IF(AND(T40="",AB40=""),"N/A","No"))</f>
        <v>N/A</v>
      </c>
      <c r="AD40" s="133">
        <f t="shared" ref="AD40:AD71" si="16">COUNTIFS(X:X, X40)</f>
        <v>200</v>
      </c>
      <c r="AE40" s="133" t="str">
        <f t="shared" ref="AE40:AE71" si="17">IF(D40&lt;18,"Child",IF(AND(D40&gt;=18,D40&lt;25),"Youth","Not Youth"))</f>
        <v>Child</v>
      </c>
      <c r="AF40" s="133">
        <f t="shared" ref="AF40:AF71" si="18">COUNTIFS(X:X, X40, AE:AE, "Youth")+COUNTIFS(X:X, X40, AE:AE, "Child")</f>
        <v>200</v>
      </c>
      <c r="AG40" s="133" t="str">
        <f t="shared" ref="AG40:AG71" si="19">IF(AF40=AD40, "True", "False")</f>
        <v>True</v>
      </c>
      <c r="AH40" s="133">
        <f t="shared" ref="AH40:AH71" si="20">COUNTIFS(X:X, X40, AE:AE, "Child")</f>
        <v>200</v>
      </c>
      <c r="AI40" s="133" t="str">
        <f t="shared" ref="AI40:AI71" si="21">IF(AND(C40="Adults &amp; Children", AH40&gt;0), "True", IF(OR(C40="Children Only", C40="Adults Only"), "N/A", "False"))</f>
        <v>False</v>
      </c>
    </row>
    <row r="41" spans="1:35" ht="15.75" customHeight="1" x14ac:dyDescent="0.25">
      <c r="A41" s="8">
        <v>134</v>
      </c>
      <c r="B41" s="9"/>
      <c r="C41" s="9"/>
      <c r="D41" s="10"/>
      <c r="E41" s="156"/>
      <c r="F41" s="9"/>
      <c r="G41" s="9"/>
      <c r="H41" s="9"/>
      <c r="I41" s="9"/>
      <c r="J41" s="9"/>
      <c r="K41" s="148"/>
      <c r="L41" s="148"/>
      <c r="M41" s="148"/>
      <c r="N41" s="148"/>
      <c r="O41" s="116"/>
      <c r="P41" s="11"/>
      <c r="Q41" s="21">
        <f>IF(COUNTIF($B$8:$B41,$B41)=1,1,0)</f>
        <v>0</v>
      </c>
      <c r="R41" s="22">
        <f>IFERROR((COUNTIF($A:$A,'Client Level Data'!$A41))/COUNTIF($B:$B,$B41),0)</f>
        <v>0</v>
      </c>
      <c r="S41" s="22" t="str">
        <f>IF(SUMIFS($R:$R,$J:$J,"Yes",$B:$B,'Client Level Data'!$B41)&gt;0,"Chronic Flag","")</f>
        <v/>
      </c>
      <c r="T41" s="22" t="str">
        <f>IF(SUMIFS($R:$R,$G:$G,"Yes",$B:$B,'Client Level Data'!$B41)&gt;0,"PY Flag","")</f>
        <v/>
      </c>
      <c r="U41" s="22" t="str">
        <f>IF(SUMIFS($R:$R,$D:$D,"&lt;18",$G:$G,"Yes",$B:$B,'Client Level Data'!$B41)&gt;0,"PY &lt;18",IF(SUMIFS($R:$R,$D:$D,"&gt;17",$D:$D,"&lt;25",$G:$G,"Yes",$B:$B,'Client Level Data'!$B41)&gt;0,"PY &gt;17 &lt;25",""))</f>
        <v/>
      </c>
      <c r="V41" s="22">
        <f>IF('Client Level Data'!$K41="Yes",1,0)+IF('Client Level Data'!$L41="Yes",1,0)+IF('Client Level Data'!$M41="Yes",1,0)</f>
        <v>0</v>
      </c>
      <c r="W41" s="21" t="str">
        <f>IF(SUMIFS($R:$R,$F:$F,"Yes",$B:$B,'Client Level Data'!$B41)&gt;0,"Vet Flag","")</f>
        <v/>
      </c>
      <c r="X41" s="12">
        <f t="shared" si="11"/>
        <v>0</v>
      </c>
      <c r="Y41" s="12" t="e">
        <f t="shared" si="12"/>
        <v>#N/A</v>
      </c>
      <c r="Z41" s="12" t="e">
        <f t="shared" si="13"/>
        <v>#N/A</v>
      </c>
      <c r="AA41" s="12">
        <f t="shared" si="14"/>
        <v>0</v>
      </c>
      <c r="AB41" s="12" t="str">
        <f>IF(SUMIFS($R:$R,$H:$H,"Yes",$B:$B,'Client Level Data'!$B41)&gt;0,"CPY Flag","")</f>
        <v/>
      </c>
      <c r="AC41" s="12" t="str">
        <f t="shared" si="15"/>
        <v>N/A</v>
      </c>
      <c r="AD41" s="12">
        <f t="shared" si="16"/>
        <v>200</v>
      </c>
      <c r="AE41" s="12" t="str">
        <f t="shared" si="17"/>
        <v>Child</v>
      </c>
      <c r="AF41" s="12">
        <f t="shared" si="18"/>
        <v>200</v>
      </c>
      <c r="AG41" s="12" t="str">
        <f t="shared" si="19"/>
        <v>True</v>
      </c>
      <c r="AH41" s="12">
        <f t="shared" si="20"/>
        <v>200</v>
      </c>
      <c r="AI41" s="12" t="str">
        <f t="shared" si="21"/>
        <v>False</v>
      </c>
    </row>
    <row r="42" spans="1:35" s="133" customFormat="1" ht="15.75" customHeight="1" x14ac:dyDescent="0.25">
      <c r="A42" s="125">
        <v>135</v>
      </c>
      <c r="B42" s="126"/>
      <c r="C42" s="126"/>
      <c r="D42" s="127"/>
      <c r="E42" s="157"/>
      <c r="F42" s="126"/>
      <c r="G42" s="126"/>
      <c r="H42" s="126"/>
      <c r="I42" s="126"/>
      <c r="J42" s="126"/>
      <c r="K42" s="126"/>
      <c r="L42" s="126"/>
      <c r="M42" s="126"/>
      <c r="N42" s="126"/>
      <c r="O42" s="137"/>
      <c r="P42" s="137"/>
      <c r="Q42" s="132">
        <f>IF(COUNTIF($B$8:$B42,$B42)=1,1,0)</f>
        <v>0</v>
      </c>
      <c r="R42" s="131">
        <f>IFERROR((COUNTIF($A:$A,'Client Level Data'!$A42))/COUNTIF($B:$B,$B42),0)</f>
        <v>0</v>
      </c>
      <c r="S42" s="131" t="str">
        <f>IF(SUMIFS($R:$R,$J:$J,"Yes",$B:$B,'Client Level Data'!$B42)&gt;0,"Chronic Flag","")</f>
        <v/>
      </c>
      <c r="T42" s="131" t="str">
        <f>IF(SUMIFS($R:$R,$G:$G,"Yes",$B:$B,'Client Level Data'!$B42)&gt;0,"PY Flag","")</f>
        <v/>
      </c>
      <c r="U42" s="131" t="str">
        <f>IF(SUMIFS($R:$R,$D:$D,"&lt;18",$G:$G,"Yes",$B:$B,'Client Level Data'!$B42)&gt;0,"PY &lt;18",IF(SUMIFS($R:$R,$D:$D,"&gt;17",$D:$D,"&lt;25",$G:$G,"Yes",$B:$B,'Client Level Data'!$B42)&gt;0,"PY &gt;17 &lt;25",""))</f>
        <v/>
      </c>
      <c r="V42" s="131">
        <f>IF('Client Level Data'!$K42="Yes",1,0)+IF('Client Level Data'!$L42="Yes",1,0)+IF('Client Level Data'!$M42="Yes",1,0)</f>
        <v>0</v>
      </c>
      <c r="W42" s="132" t="str">
        <f>IF(SUMIFS($R:$R,$F:$F,"Yes",$B:$B,'Client Level Data'!$B42)&gt;0,"Vet Flag","")</f>
        <v/>
      </c>
      <c r="X42" s="133">
        <f t="shared" si="11"/>
        <v>0</v>
      </c>
      <c r="Y42" s="133" t="e">
        <f t="shared" si="12"/>
        <v>#N/A</v>
      </c>
      <c r="Z42" s="133" t="e">
        <f t="shared" si="13"/>
        <v>#N/A</v>
      </c>
      <c r="AA42" s="133">
        <f t="shared" si="14"/>
        <v>0</v>
      </c>
      <c r="AB42" s="133" t="str">
        <f>IF(SUMIFS($R:$R,$H:$H,"Yes",$B:$B,'Client Level Data'!$B42)&gt;0,"CPY Flag","")</f>
        <v/>
      </c>
      <c r="AC42" s="133" t="str">
        <f t="shared" si="15"/>
        <v>N/A</v>
      </c>
      <c r="AD42" s="133">
        <f t="shared" si="16"/>
        <v>200</v>
      </c>
      <c r="AE42" s="133" t="str">
        <f t="shared" si="17"/>
        <v>Child</v>
      </c>
      <c r="AF42" s="133">
        <f t="shared" si="18"/>
        <v>200</v>
      </c>
      <c r="AG42" s="133" t="str">
        <f t="shared" si="19"/>
        <v>True</v>
      </c>
      <c r="AH42" s="133">
        <f t="shared" si="20"/>
        <v>200</v>
      </c>
      <c r="AI42" s="133" t="str">
        <f t="shared" si="21"/>
        <v>False</v>
      </c>
    </row>
    <row r="43" spans="1:35" ht="15.75" customHeight="1" x14ac:dyDescent="0.25">
      <c r="A43" s="8">
        <v>136</v>
      </c>
      <c r="B43" s="9"/>
      <c r="C43" s="9"/>
      <c r="D43" s="10"/>
      <c r="E43" s="156"/>
      <c r="F43" s="9"/>
      <c r="G43" s="9"/>
      <c r="H43" s="9"/>
      <c r="I43" s="9"/>
      <c r="J43" s="9"/>
      <c r="K43" s="148"/>
      <c r="L43" s="148"/>
      <c r="M43" s="148"/>
      <c r="N43" s="148"/>
      <c r="O43" s="116"/>
      <c r="P43" s="116"/>
      <c r="Q43" s="21">
        <f>IF(COUNTIF($B$8:$B43,$B43)=1,1,0)</f>
        <v>0</v>
      </c>
      <c r="R43" s="22">
        <f>IFERROR((COUNTIF($A:$A,'Client Level Data'!$A43))/COUNTIF($B:$B,$B43),0)</f>
        <v>0</v>
      </c>
      <c r="S43" s="22" t="str">
        <f>IF(SUMIFS($R:$R,$J:$J,"Yes",$B:$B,'Client Level Data'!$B43)&gt;0,"Chronic Flag","")</f>
        <v/>
      </c>
      <c r="T43" s="22" t="str">
        <f>IF(SUMIFS($R:$R,$G:$G,"Yes",$B:$B,'Client Level Data'!$B43)&gt;0,"PY Flag","")</f>
        <v/>
      </c>
      <c r="U43" s="22" t="str">
        <f>IF(SUMIFS($R:$R,$D:$D,"&lt;18",$G:$G,"Yes",$B:$B,'Client Level Data'!$B43)&gt;0,"PY &lt;18",IF(SUMIFS($R:$R,$D:$D,"&gt;17",$D:$D,"&lt;25",$G:$G,"Yes",$B:$B,'Client Level Data'!$B43)&gt;0,"PY &gt;17 &lt;25",""))</f>
        <v/>
      </c>
      <c r="V43" s="22">
        <f>IF('Client Level Data'!$K43="Yes",1,0)+IF('Client Level Data'!$L43="Yes",1,0)+IF('Client Level Data'!$M43="Yes",1,0)</f>
        <v>0</v>
      </c>
      <c r="W43" s="21" t="str">
        <f>IF(SUMIFS($R:$R,$F:$F,"Yes",$B:$B,'Client Level Data'!$B43)&gt;0,"Vet Flag","")</f>
        <v/>
      </c>
      <c r="X43" s="12">
        <f t="shared" si="11"/>
        <v>0</v>
      </c>
      <c r="Y43" s="12" t="e">
        <f t="shared" si="12"/>
        <v>#N/A</v>
      </c>
      <c r="Z43" s="12" t="e">
        <f t="shared" si="13"/>
        <v>#N/A</v>
      </c>
      <c r="AA43" s="12">
        <f t="shared" si="14"/>
        <v>0</v>
      </c>
      <c r="AB43" s="12" t="str">
        <f>IF(SUMIFS($R:$R,$H:$H,"Yes",$B:$B,'Client Level Data'!$B43)&gt;0,"CPY Flag","")</f>
        <v/>
      </c>
      <c r="AC43" s="12" t="str">
        <f t="shared" si="15"/>
        <v>N/A</v>
      </c>
      <c r="AD43" s="12">
        <f t="shared" si="16"/>
        <v>200</v>
      </c>
      <c r="AE43" s="12" t="str">
        <f t="shared" si="17"/>
        <v>Child</v>
      </c>
      <c r="AF43" s="12">
        <f t="shared" si="18"/>
        <v>200</v>
      </c>
      <c r="AG43" s="12" t="str">
        <f t="shared" si="19"/>
        <v>True</v>
      </c>
      <c r="AH43" s="12">
        <f t="shared" si="20"/>
        <v>200</v>
      </c>
      <c r="AI43" s="12" t="str">
        <f t="shared" si="21"/>
        <v>False</v>
      </c>
    </row>
    <row r="44" spans="1:35" s="133" customFormat="1" ht="15.75" customHeight="1" x14ac:dyDescent="0.25">
      <c r="A44" s="125">
        <v>137</v>
      </c>
      <c r="B44" s="126"/>
      <c r="C44" s="126"/>
      <c r="D44" s="127"/>
      <c r="E44" s="157"/>
      <c r="F44" s="126"/>
      <c r="G44" s="126"/>
      <c r="H44" s="126"/>
      <c r="I44" s="126"/>
      <c r="J44" s="126"/>
      <c r="K44" s="126"/>
      <c r="L44" s="126"/>
      <c r="M44" s="126"/>
      <c r="N44" s="126"/>
      <c r="O44" s="140"/>
      <c r="P44" s="141"/>
      <c r="Q44" s="132">
        <f>IF(COUNTIF($B$8:$B44,$B44)=1,1,0)</f>
        <v>0</v>
      </c>
      <c r="R44" s="131">
        <f>IFERROR((COUNTIF($A:$A,'Client Level Data'!$A44))/COUNTIF($B:$B,$B44),0)</f>
        <v>0</v>
      </c>
      <c r="S44" s="131" t="str">
        <f>IF(SUMIFS($R:$R,$J:$J,"Yes",$B:$B,'Client Level Data'!$B44)&gt;0,"Chronic Flag","")</f>
        <v/>
      </c>
      <c r="T44" s="131" t="str">
        <f>IF(SUMIFS($R:$R,$G:$G,"Yes",$B:$B,'Client Level Data'!$B44)&gt;0,"PY Flag","")</f>
        <v/>
      </c>
      <c r="U44" s="131" t="str">
        <f>IF(SUMIFS($R:$R,$D:$D,"&lt;18",$G:$G,"Yes",$B:$B,'Client Level Data'!$B44)&gt;0,"PY &lt;18",IF(SUMIFS($R:$R,$D:$D,"&gt;17",$D:$D,"&lt;25",$G:$G,"Yes",$B:$B,'Client Level Data'!$B44)&gt;0,"PY &gt;17 &lt;25",""))</f>
        <v/>
      </c>
      <c r="V44" s="131">
        <f>IF('Client Level Data'!$K44="Yes",1,0)+IF('Client Level Data'!$L44="Yes",1,0)+IF('Client Level Data'!$M44="Yes",1,0)</f>
        <v>0</v>
      </c>
      <c r="W44" s="132" t="str">
        <f>IF(SUMIFS($R:$R,$F:$F,"Yes",$B:$B,'Client Level Data'!$B44)&gt;0,"Vet Flag","")</f>
        <v/>
      </c>
      <c r="X44" s="133">
        <f t="shared" si="11"/>
        <v>0</v>
      </c>
      <c r="Y44" s="133" t="e">
        <f t="shared" si="12"/>
        <v>#N/A</v>
      </c>
      <c r="Z44" s="133" t="e">
        <f t="shared" si="13"/>
        <v>#N/A</v>
      </c>
      <c r="AA44" s="133">
        <f t="shared" si="14"/>
        <v>0</v>
      </c>
      <c r="AB44" s="133" t="str">
        <f>IF(SUMIFS($R:$R,$H:$H,"Yes",$B:$B,'Client Level Data'!$B44)&gt;0,"CPY Flag","")</f>
        <v/>
      </c>
      <c r="AC44" s="133" t="str">
        <f t="shared" si="15"/>
        <v>N/A</v>
      </c>
      <c r="AD44" s="133">
        <f t="shared" si="16"/>
        <v>200</v>
      </c>
      <c r="AE44" s="133" t="str">
        <f t="shared" si="17"/>
        <v>Child</v>
      </c>
      <c r="AF44" s="133">
        <f t="shared" si="18"/>
        <v>200</v>
      </c>
      <c r="AG44" s="133" t="str">
        <f t="shared" si="19"/>
        <v>True</v>
      </c>
      <c r="AH44" s="133">
        <f t="shared" si="20"/>
        <v>200</v>
      </c>
      <c r="AI44" s="133" t="str">
        <f t="shared" si="21"/>
        <v>False</v>
      </c>
    </row>
    <row r="45" spans="1:35" ht="15.75" customHeight="1" x14ac:dyDescent="0.25">
      <c r="A45" s="8">
        <v>138</v>
      </c>
      <c r="B45" s="9"/>
      <c r="C45" s="9"/>
      <c r="D45" s="10"/>
      <c r="E45" s="156"/>
      <c r="F45" s="9"/>
      <c r="G45" s="9"/>
      <c r="H45" s="9"/>
      <c r="I45" s="9"/>
      <c r="J45" s="9"/>
      <c r="K45" s="148"/>
      <c r="L45" s="148"/>
      <c r="M45" s="148"/>
      <c r="N45" s="148"/>
      <c r="O45" s="110"/>
      <c r="P45" s="111"/>
      <c r="Q45" s="109">
        <f>IF(COUNTIF($B$8:$B45,$B45)=1,1,0)</f>
        <v>0</v>
      </c>
      <c r="R45" s="22">
        <f>IFERROR((COUNTIF($A:$A,'Client Level Data'!$A45))/COUNTIF($B:$B,$B45),0)</f>
        <v>0</v>
      </c>
      <c r="S45" s="22" t="str">
        <f>IF(SUMIFS($R:$R,$J:$J,"Yes",$B:$B,'Client Level Data'!$B45)&gt;0,"Chronic Flag","")</f>
        <v/>
      </c>
      <c r="T45" s="22" t="str">
        <f>IF(SUMIFS($R:$R,$G:$G,"Yes",$B:$B,'Client Level Data'!$B45)&gt;0,"PY Flag","")</f>
        <v/>
      </c>
      <c r="U45" s="22" t="str">
        <f>IF(SUMIFS($R:$R,$D:$D,"&lt;18",$G:$G,"Yes",$B:$B,'Client Level Data'!$B45)&gt;0,"PY &lt;18",IF(SUMIFS($R:$R,$D:$D,"&gt;17",$D:$D,"&lt;25",$G:$G,"Yes",$B:$B,'Client Level Data'!$B45)&gt;0,"PY &gt;17 &lt;25",""))</f>
        <v/>
      </c>
      <c r="V45" s="22">
        <f>IF('Client Level Data'!$K45="Yes",1,0)+IF('Client Level Data'!$L45="Yes",1,0)+IF('Client Level Data'!$M45="Yes",1,0)</f>
        <v>0</v>
      </c>
      <c r="W45" s="21" t="str">
        <f>IF(SUMIFS($R:$R,$F:$F,"Yes",$B:$B,'Client Level Data'!$B45)&gt;0,"Vet Flag","")</f>
        <v/>
      </c>
      <c r="X45" s="12">
        <f t="shared" si="11"/>
        <v>0</v>
      </c>
      <c r="Y45" s="12" t="e">
        <f t="shared" si="12"/>
        <v>#N/A</v>
      </c>
      <c r="Z45" s="12" t="e">
        <f t="shared" si="13"/>
        <v>#N/A</v>
      </c>
      <c r="AA45" s="12">
        <f t="shared" si="14"/>
        <v>0</v>
      </c>
      <c r="AB45" s="12" t="str">
        <f>IF(SUMIFS($R:$R,$H:$H,"Yes",$B:$B,'Client Level Data'!$B45)&gt;0,"CPY Flag","")</f>
        <v/>
      </c>
      <c r="AC45" s="12" t="str">
        <f t="shared" si="15"/>
        <v>N/A</v>
      </c>
      <c r="AD45" s="12">
        <f t="shared" si="16"/>
        <v>200</v>
      </c>
      <c r="AE45" s="12" t="str">
        <f t="shared" si="17"/>
        <v>Child</v>
      </c>
      <c r="AF45" s="12">
        <f t="shared" si="18"/>
        <v>200</v>
      </c>
      <c r="AG45" s="12" t="str">
        <f t="shared" si="19"/>
        <v>True</v>
      </c>
      <c r="AH45" s="12">
        <f t="shared" si="20"/>
        <v>200</v>
      </c>
      <c r="AI45" s="12" t="str">
        <f t="shared" si="21"/>
        <v>False</v>
      </c>
    </row>
    <row r="46" spans="1:35" s="133" customFormat="1" ht="15.75" customHeight="1" x14ac:dyDescent="0.25">
      <c r="A46" s="125">
        <v>139</v>
      </c>
      <c r="B46" s="126"/>
      <c r="C46" s="126"/>
      <c r="D46" s="127"/>
      <c r="E46" s="157"/>
      <c r="F46" s="126"/>
      <c r="G46" s="126"/>
      <c r="H46" s="126"/>
      <c r="I46" s="126"/>
      <c r="J46" s="126"/>
      <c r="K46" s="126"/>
      <c r="L46" s="126"/>
      <c r="M46" s="126"/>
      <c r="N46" s="126"/>
      <c r="O46" s="128"/>
      <c r="P46" s="129"/>
      <c r="Q46" s="130">
        <f>IF(COUNTIF($B$8:$B46,$B46)=1,1,0)</f>
        <v>0</v>
      </c>
      <c r="R46" s="131">
        <f>IFERROR((COUNTIF($A:$A,'Client Level Data'!$A46))/COUNTIF($B:$B,$B46),0)</f>
        <v>0</v>
      </c>
      <c r="S46" s="131" t="str">
        <f>IF(SUMIFS($R:$R,$J:$J,"Yes",$B:$B,'Client Level Data'!$B46)&gt;0,"Chronic Flag","")</f>
        <v/>
      </c>
      <c r="T46" s="131" t="str">
        <f>IF(SUMIFS($R:$R,$G:$G,"Yes",$B:$B,'Client Level Data'!$B46)&gt;0,"PY Flag","")</f>
        <v/>
      </c>
      <c r="U46" s="131" t="str">
        <f>IF(SUMIFS($R:$R,$D:$D,"&lt;18",$G:$G,"Yes",$B:$B,'Client Level Data'!$B46)&gt;0,"PY &lt;18",IF(SUMIFS($R:$R,$D:$D,"&gt;17",$D:$D,"&lt;25",$G:$G,"Yes",$B:$B,'Client Level Data'!$B46)&gt;0,"PY &gt;17 &lt;25",""))</f>
        <v/>
      </c>
      <c r="V46" s="131">
        <f>IF('Client Level Data'!$K46="Yes",1,0)+IF('Client Level Data'!$L46="Yes",1,0)+IF('Client Level Data'!$M46="Yes",1,0)</f>
        <v>0</v>
      </c>
      <c r="W46" s="132" t="str">
        <f>IF(SUMIFS($R:$R,$F:$F,"Yes",$B:$B,'Client Level Data'!$B46)&gt;0,"Vet Flag","")</f>
        <v/>
      </c>
      <c r="X46" s="133">
        <f t="shared" si="11"/>
        <v>0</v>
      </c>
      <c r="Y46" s="133" t="e">
        <f t="shared" si="12"/>
        <v>#N/A</v>
      </c>
      <c r="Z46" s="133" t="e">
        <f t="shared" si="13"/>
        <v>#N/A</v>
      </c>
      <c r="AA46" s="133">
        <f t="shared" si="14"/>
        <v>0</v>
      </c>
      <c r="AB46" s="133" t="str">
        <f>IF(SUMIFS($R:$R,$H:$H,"Yes",$B:$B,'Client Level Data'!$B46)&gt;0,"CPY Flag","")</f>
        <v/>
      </c>
      <c r="AC46" s="133" t="str">
        <f t="shared" si="15"/>
        <v>N/A</v>
      </c>
      <c r="AD46" s="133">
        <f t="shared" si="16"/>
        <v>200</v>
      </c>
      <c r="AE46" s="133" t="str">
        <f t="shared" si="17"/>
        <v>Child</v>
      </c>
      <c r="AF46" s="133">
        <f t="shared" si="18"/>
        <v>200</v>
      </c>
      <c r="AG46" s="133" t="str">
        <f t="shared" si="19"/>
        <v>True</v>
      </c>
      <c r="AH46" s="133">
        <f t="shared" si="20"/>
        <v>200</v>
      </c>
      <c r="AI46" s="133" t="str">
        <f t="shared" si="21"/>
        <v>False</v>
      </c>
    </row>
    <row r="47" spans="1:35" ht="15.75" customHeight="1" x14ac:dyDescent="0.25">
      <c r="A47" s="8">
        <v>140</v>
      </c>
      <c r="B47" s="9"/>
      <c r="C47" s="9"/>
      <c r="D47" s="10"/>
      <c r="E47" s="156"/>
      <c r="F47" s="9"/>
      <c r="G47" s="9"/>
      <c r="H47" s="9"/>
      <c r="I47" s="9"/>
      <c r="J47" s="9"/>
      <c r="K47" s="148"/>
      <c r="L47" s="148"/>
      <c r="M47" s="148"/>
      <c r="N47" s="148"/>
      <c r="O47" s="112"/>
      <c r="P47" s="113"/>
      <c r="Q47" s="21">
        <f>IF(COUNTIF($B$8:$B47,$B47)=1,1,0)</f>
        <v>0</v>
      </c>
      <c r="R47" s="22">
        <f>IFERROR((COUNTIF($A:$A,'Client Level Data'!$A47))/COUNTIF($B:$B,$B47),0)</f>
        <v>0</v>
      </c>
      <c r="S47" s="22" t="str">
        <f>IF(SUMIFS($R:$R,$J:$J,"Yes",$B:$B,'Client Level Data'!$B47)&gt;0,"Chronic Flag","")</f>
        <v/>
      </c>
      <c r="T47" s="22" t="str">
        <f>IF(SUMIFS($R:$R,$G:$G,"Yes",$B:$B,'Client Level Data'!$B47)&gt;0,"PY Flag","")</f>
        <v/>
      </c>
      <c r="U47" s="22" t="str">
        <f>IF(SUMIFS($R:$R,$D:$D,"&lt;18",$G:$G,"Yes",$B:$B,'Client Level Data'!$B47)&gt;0,"PY &lt;18",IF(SUMIFS($R:$R,$D:$D,"&gt;17",$D:$D,"&lt;25",$G:$G,"Yes",$B:$B,'Client Level Data'!$B47)&gt;0,"PY &gt;17 &lt;25",""))</f>
        <v/>
      </c>
      <c r="V47" s="22">
        <f>IF('Client Level Data'!$K47="Yes",1,0)+IF('Client Level Data'!$L47="Yes",1,0)+IF('Client Level Data'!$M47="Yes",1,0)</f>
        <v>0</v>
      </c>
      <c r="W47" s="21" t="str">
        <f>IF(SUMIFS($R:$R,$F:$F,"Yes",$B:$B,'Client Level Data'!$B47)&gt;0,"Vet Flag","")</f>
        <v/>
      </c>
      <c r="X47" s="12">
        <f t="shared" si="11"/>
        <v>0</v>
      </c>
      <c r="Y47" s="12" t="e">
        <f t="shared" si="12"/>
        <v>#N/A</v>
      </c>
      <c r="Z47" s="12" t="e">
        <f t="shared" si="13"/>
        <v>#N/A</v>
      </c>
      <c r="AA47" s="12">
        <f t="shared" si="14"/>
        <v>0</v>
      </c>
      <c r="AB47" s="12" t="str">
        <f>IF(SUMIFS($R:$R,$H:$H,"Yes",$B:$B,'Client Level Data'!$B47)&gt;0,"CPY Flag","")</f>
        <v/>
      </c>
      <c r="AC47" s="12" t="str">
        <f t="shared" si="15"/>
        <v>N/A</v>
      </c>
      <c r="AD47" s="12">
        <f t="shared" si="16"/>
        <v>200</v>
      </c>
      <c r="AE47" s="12" t="str">
        <f t="shared" si="17"/>
        <v>Child</v>
      </c>
      <c r="AF47" s="12">
        <f t="shared" si="18"/>
        <v>200</v>
      </c>
      <c r="AG47" s="12" t="str">
        <f t="shared" si="19"/>
        <v>True</v>
      </c>
      <c r="AH47" s="12">
        <f t="shared" si="20"/>
        <v>200</v>
      </c>
      <c r="AI47" s="12" t="str">
        <f t="shared" si="21"/>
        <v>False</v>
      </c>
    </row>
    <row r="48" spans="1:35" s="133" customFormat="1" ht="15.75" customHeight="1" x14ac:dyDescent="0.25">
      <c r="A48" s="125">
        <v>141</v>
      </c>
      <c r="B48" s="126"/>
      <c r="C48" s="126"/>
      <c r="D48" s="127"/>
      <c r="E48" s="157"/>
      <c r="F48" s="126"/>
      <c r="G48" s="126"/>
      <c r="H48" s="126"/>
      <c r="I48" s="126"/>
      <c r="J48" s="126"/>
      <c r="K48" s="126"/>
      <c r="L48" s="126"/>
      <c r="M48" s="126"/>
      <c r="N48" s="126"/>
      <c r="O48" s="134"/>
      <c r="P48" s="135"/>
      <c r="Q48" s="132">
        <f>IF(COUNTIF($B$8:$B48,$B48)=1,1,0)</f>
        <v>0</v>
      </c>
      <c r="R48" s="131">
        <f>IFERROR((COUNTIF($A:$A,'Client Level Data'!$A48))/COUNTIF($B:$B,$B48),0)</f>
        <v>0</v>
      </c>
      <c r="S48" s="131" t="str">
        <f>IF(SUMIFS($R:$R,$J:$J,"Yes",$B:$B,'Client Level Data'!$B48)&gt;0,"Chronic Flag","")</f>
        <v/>
      </c>
      <c r="T48" s="131" t="str">
        <f>IF(SUMIFS($R:$R,$G:$G,"Yes",$B:$B,'Client Level Data'!$B48)&gt;0,"PY Flag","")</f>
        <v/>
      </c>
      <c r="U48" s="131" t="str">
        <f>IF(SUMIFS($R:$R,$D:$D,"&lt;18",$G:$G,"Yes",$B:$B,'Client Level Data'!$B48)&gt;0,"PY &lt;18",IF(SUMIFS($R:$R,$D:$D,"&gt;17",$D:$D,"&lt;25",$G:$G,"Yes",$B:$B,'Client Level Data'!$B48)&gt;0,"PY &gt;17 &lt;25",""))</f>
        <v/>
      </c>
      <c r="V48" s="131">
        <f>IF('Client Level Data'!$K48="Yes",1,0)+IF('Client Level Data'!$L48="Yes",1,0)+IF('Client Level Data'!$M48="Yes",1,0)</f>
        <v>0</v>
      </c>
      <c r="W48" s="132" t="str">
        <f>IF(SUMIFS($R:$R,$F:$F,"Yes",$B:$B,'Client Level Data'!$B48)&gt;0,"Vet Flag","")</f>
        <v/>
      </c>
      <c r="X48" s="133">
        <f t="shared" si="11"/>
        <v>0</v>
      </c>
      <c r="Y48" s="133" t="e">
        <f t="shared" si="12"/>
        <v>#N/A</v>
      </c>
      <c r="Z48" s="133" t="e">
        <f t="shared" si="13"/>
        <v>#N/A</v>
      </c>
      <c r="AA48" s="133">
        <f t="shared" si="14"/>
        <v>0</v>
      </c>
      <c r="AB48" s="133" t="str">
        <f>IF(SUMIFS($R:$R,$H:$H,"Yes",$B:$B,'Client Level Data'!$B48)&gt;0,"CPY Flag","")</f>
        <v/>
      </c>
      <c r="AC48" s="133" t="str">
        <f t="shared" si="15"/>
        <v>N/A</v>
      </c>
      <c r="AD48" s="133">
        <f t="shared" si="16"/>
        <v>200</v>
      </c>
      <c r="AE48" s="133" t="str">
        <f t="shared" si="17"/>
        <v>Child</v>
      </c>
      <c r="AF48" s="133">
        <f t="shared" si="18"/>
        <v>200</v>
      </c>
      <c r="AG48" s="133" t="str">
        <f t="shared" si="19"/>
        <v>True</v>
      </c>
      <c r="AH48" s="133">
        <f t="shared" si="20"/>
        <v>200</v>
      </c>
      <c r="AI48" s="133" t="str">
        <f t="shared" si="21"/>
        <v>False</v>
      </c>
    </row>
    <row r="49" spans="1:35" ht="15.75" customHeight="1" x14ac:dyDescent="0.25">
      <c r="A49" s="8">
        <v>142</v>
      </c>
      <c r="B49" s="9"/>
      <c r="C49" s="9"/>
      <c r="D49" s="10"/>
      <c r="E49" s="156"/>
      <c r="F49" s="9"/>
      <c r="G49" s="9"/>
      <c r="H49" s="9"/>
      <c r="I49" s="9"/>
      <c r="J49" s="9"/>
      <c r="K49" s="148"/>
      <c r="L49" s="148"/>
      <c r="M49" s="148"/>
      <c r="N49" s="148"/>
      <c r="O49" s="118"/>
      <c r="P49" s="119"/>
      <c r="Q49" s="21">
        <f>IF(COUNTIF($B$8:$B49,$B49)=1,1,0)</f>
        <v>0</v>
      </c>
      <c r="R49" s="22">
        <f>IFERROR((COUNTIF($A:$A,'Client Level Data'!$A49))/COUNTIF($B:$B,$B49),0)</f>
        <v>0</v>
      </c>
      <c r="S49" s="22" t="str">
        <f>IF(SUMIFS($R:$R,$J:$J,"Yes",$B:$B,'Client Level Data'!$B49)&gt;0,"Chronic Flag","")</f>
        <v/>
      </c>
      <c r="T49" s="22" t="str">
        <f>IF(SUMIFS($R:$R,$G:$G,"Yes",$B:$B,'Client Level Data'!$B49)&gt;0,"PY Flag","")</f>
        <v/>
      </c>
      <c r="U49" s="22" t="str">
        <f>IF(SUMIFS($R:$R,$D:$D,"&lt;18",$G:$G,"Yes",$B:$B,'Client Level Data'!$B49)&gt;0,"PY &lt;18",IF(SUMIFS($R:$R,$D:$D,"&gt;17",$D:$D,"&lt;25",$G:$G,"Yes",$B:$B,'Client Level Data'!$B49)&gt;0,"PY &gt;17 &lt;25",""))</f>
        <v/>
      </c>
      <c r="V49" s="22">
        <f>IF('Client Level Data'!$K49="Yes",1,0)+IF('Client Level Data'!$L49="Yes",1,0)+IF('Client Level Data'!$M49="Yes",1,0)</f>
        <v>0</v>
      </c>
      <c r="W49" s="21" t="str">
        <f>IF(SUMIFS($R:$R,$F:$F,"Yes",$B:$B,'Client Level Data'!$B49)&gt;0,"Vet Flag","")</f>
        <v/>
      </c>
      <c r="X49" s="12">
        <f t="shared" si="11"/>
        <v>0</v>
      </c>
      <c r="Y49" s="12" t="e">
        <f t="shared" si="12"/>
        <v>#N/A</v>
      </c>
      <c r="Z49" s="12" t="e">
        <f t="shared" si="13"/>
        <v>#N/A</v>
      </c>
      <c r="AA49" s="12">
        <f t="shared" si="14"/>
        <v>0</v>
      </c>
      <c r="AB49" s="12" t="str">
        <f>IF(SUMIFS($R:$R,$H:$H,"Yes",$B:$B,'Client Level Data'!$B49)&gt;0,"CPY Flag","")</f>
        <v/>
      </c>
      <c r="AC49" s="12" t="str">
        <f t="shared" si="15"/>
        <v>N/A</v>
      </c>
      <c r="AD49" s="12">
        <f t="shared" si="16"/>
        <v>200</v>
      </c>
      <c r="AE49" s="12" t="str">
        <f t="shared" si="17"/>
        <v>Child</v>
      </c>
      <c r="AF49" s="12">
        <f t="shared" si="18"/>
        <v>200</v>
      </c>
      <c r="AG49" s="12" t="str">
        <f t="shared" si="19"/>
        <v>True</v>
      </c>
      <c r="AH49" s="12">
        <f t="shared" si="20"/>
        <v>200</v>
      </c>
      <c r="AI49" s="12" t="str">
        <f t="shared" si="21"/>
        <v>False</v>
      </c>
    </row>
    <row r="50" spans="1:35" s="133" customFormat="1" ht="15.75" customHeight="1" x14ac:dyDescent="0.25">
      <c r="A50" s="125">
        <v>143</v>
      </c>
      <c r="B50" s="126"/>
      <c r="C50" s="126"/>
      <c r="D50" s="127"/>
      <c r="E50" s="157"/>
      <c r="F50" s="126"/>
      <c r="G50" s="126"/>
      <c r="H50" s="126"/>
      <c r="I50" s="126"/>
      <c r="J50" s="126"/>
      <c r="K50" s="126"/>
      <c r="L50" s="126"/>
      <c r="M50" s="126"/>
      <c r="N50" s="126"/>
      <c r="O50" s="142"/>
      <c r="P50" s="143"/>
      <c r="Q50" s="132">
        <f>IF(COUNTIF($B$8:$B50,$B50)=1,1,0)</f>
        <v>0</v>
      </c>
      <c r="R50" s="131">
        <f>IFERROR((COUNTIF($A:$A,'Client Level Data'!$A50))/COUNTIF($B:$B,$B50),0)</f>
        <v>0</v>
      </c>
      <c r="S50" s="131" t="str">
        <f>IF(SUMIFS($R:$R,$J:$J,"Yes",$B:$B,'Client Level Data'!$B50)&gt;0,"Chronic Flag","")</f>
        <v/>
      </c>
      <c r="T50" s="131" t="str">
        <f>IF(SUMIFS($R:$R,$G:$G,"Yes",$B:$B,'Client Level Data'!$B50)&gt;0,"PY Flag","")</f>
        <v/>
      </c>
      <c r="U50" s="131" t="str">
        <f>IF(SUMIFS($R:$R,$D:$D,"&lt;18",$G:$G,"Yes",$B:$B,'Client Level Data'!$B50)&gt;0,"PY &lt;18",IF(SUMIFS($R:$R,$D:$D,"&gt;17",$D:$D,"&lt;25",$G:$G,"Yes",$B:$B,'Client Level Data'!$B50)&gt;0,"PY &gt;17 &lt;25",""))</f>
        <v/>
      </c>
      <c r="V50" s="131">
        <f>IF('Client Level Data'!$K50="Yes",1,0)+IF('Client Level Data'!$L50="Yes",1,0)+IF('Client Level Data'!$M50="Yes",1,0)</f>
        <v>0</v>
      </c>
      <c r="W50" s="132" t="str">
        <f>IF(SUMIFS($R:$R,$F:$F,"Yes",$B:$B,'Client Level Data'!$B50)&gt;0,"Vet Flag","")</f>
        <v/>
      </c>
      <c r="X50" s="133">
        <f t="shared" si="11"/>
        <v>0</v>
      </c>
      <c r="Y50" s="133" t="e">
        <f t="shared" si="12"/>
        <v>#N/A</v>
      </c>
      <c r="Z50" s="133" t="e">
        <f t="shared" si="13"/>
        <v>#N/A</v>
      </c>
      <c r="AA50" s="133">
        <f t="shared" si="14"/>
        <v>0</v>
      </c>
      <c r="AB50" s="133" t="str">
        <f>IF(SUMIFS($R:$R,$H:$H,"Yes",$B:$B,'Client Level Data'!$B50)&gt;0,"CPY Flag","")</f>
        <v/>
      </c>
      <c r="AC50" s="133" t="str">
        <f t="shared" si="15"/>
        <v>N/A</v>
      </c>
      <c r="AD50" s="133">
        <f t="shared" si="16"/>
        <v>200</v>
      </c>
      <c r="AE50" s="133" t="str">
        <f t="shared" si="17"/>
        <v>Child</v>
      </c>
      <c r="AF50" s="133">
        <f t="shared" si="18"/>
        <v>200</v>
      </c>
      <c r="AG50" s="133" t="str">
        <f t="shared" si="19"/>
        <v>True</v>
      </c>
      <c r="AH50" s="133">
        <f t="shared" si="20"/>
        <v>200</v>
      </c>
      <c r="AI50" s="133" t="str">
        <f t="shared" si="21"/>
        <v>False</v>
      </c>
    </row>
    <row r="51" spans="1:35" ht="15.75" customHeight="1" x14ac:dyDescent="0.25">
      <c r="A51" s="8">
        <v>144</v>
      </c>
      <c r="B51" s="9"/>
      <c r="C51" s="9"/>
      <c r="D51" s="10"/>
      <c r="E51" s="156"/>
      <c r="F51" s="9"/>
      <c r="G51" s="9"/>
      <c r="H51" s="9"/>
      <c r="I51" s="9"/>
      <c r="J51" s="9"/>
      <c r="K51" s="148"/>
      <c r="L51" s="148"/>
      <c r="M51" s="148"/>
      <c r="N51" s="148"/>
      <c r="O51" s="113"/>
      <c r="P51" s="113"/>
      <c r="Q51" s="21">
        <f>IF(COUNTIF($B$8:$B51,$B51)=1,1,0)</f>
        <v>0</v>
      </c>
      <c r="R51" s="22">
        <f>IFERROR((COUNTIF($A:$A,'Client Level Data'!$A51))/COUNTIF($B:$B,$B51),0)</f>
        <v>0</v>
      </c>
      <c r="S51" s="22" t="str">
        <f>IF(SUMIFS($R:$R,$J:$J,"Yes",$B:$B,'Client Level Data'!$B51)&gt;0,"Chronic Flag","")</f>
        <v/>
      </c>
      <c r="T51" s="22" t="str">
        <f>IF(SUMIFS($R:$R,$G:$G,"Yes",$B:$B,'Client Level Data'!$B51)&gt;0,"PY Flag","")</f>
        <v/>
      </c>
      <c r="U51" s="22" t="str">
        <f>IF(SUMIFS($R:$R,$D:$D,"&lt;18",$G:$G,"Yes",$B:$B,'Client Level Data'!$B51)&gt;0,"PY &lt;18",IF(SUMIFS($R:$R,$D:$D,"&gt;17",$D:$D,"&lt;25",$G:$G,"Yes",$B:$B,'Client Level Data'!$B51)&gt;0,"PY &gt;17 &lt;25",""))</f>
        <v/>
      </c>
      <c r="V51" s="22">
        <f>IF('Client Level Data'!$K51="Yes",1,0)+IF('Client Level Data'!$L51="Yes",1,0)+IF('Client Level Data'!$M51="Yes",1,0)</f>
        <v>0</v>
      </c>
      <c r="W51" s="21" t="str">
        <f>IF(SUMIFS($R:$R,$F:$F,"Yes",$B:$B,'Client Level Data'!$B51)&gt;0,"Vet Flag","")</f>
        <v/>
      </c>
      <c r="X51" s="12">
        <f t="shared" si="11"/>
        <v>0</v>
      </c>
      <c r="Y51" s="12" t="e">
        <f t="shared" si="12"/>
        <v>#N/A</v>
      </c>
      <c r="Z51" s="12" t="e">
        <f t="shared" si="13"/>
        <v>#N/A</v>
      </c>
      <c r="AA51" s="12">
        <f t="shared" si="14"/>
        <v>0</v>
      </c>
      <c r="AB51" s="12" t="str">
        <f>IF(SUMIFS($R:$R,$H:$H,"Yes",$B:$B,'Client Level Data'!$B51)&gt;0,"CPY Flag","")</f>
        <v/>
      </c>
      <c r="AC51" s="12" t="str">
        <f t="shared" si="15"/>
        <v>N/A</v>
      </c>
      <c r="AD51" s="12">
        <f t="shared" si="16"/>
        <v>200</v>
      </c>
      <c r="AE51" s="12" t="str">
        <f t="shared" si="17"/>
        <v>Child</v>
      </c>
      <c r="AF51" s="12">
        <f t="shared" si="18"/>
        <v>200</v>
      </c>
      <c r="AG51" s="12" t="str">
        <f t="shared" si="19"/>
        <v>True</v>
      </c>
      <c r="AH51" s="12">
        <f t="shared" si="20"/>
        <v>200</v>
      </c>
      <c r="AI51" s="12" t="str">
        <f t="shared" si="21"/>
        <v>False</v>
      </c>
    </row>
    <row r="52" spans="1:35" s="133" customFormat="1" ht="15.75" customHeight="1" x14ac:dyDescent="0.25">
      <c r="A52" s="125">
        <v>145</v>
      </c>
      <c r="B52" s="126"/>
      <c r="C52" s="126"/>
      <c r="D52" s="127"/>
      <c r="E52" s="157"/>
      <c r="F52" s="126"/>
      <c r="G52" s="126"/>
      <c r="H52" s="126"/>
      <c r="I52" s="126"/>
      <c r="J52" s="126"/>
      <c r="K52" s="126"/>
      <c r="L52" s="126"/>
      <c r="M52" s="126"/>
      <c r="N52" s="126"/>
      <c r="O52" s="135"/>
      <c r="P52" s="135"/>
      <c r="Q52" s="132">
        <f>IF(COUNTIF($B$8:$B52,$B52)=1,1,0)</f>
        <v>0</v>
      </c>
      <c r="R52" s="131">
        <f>IFERROR((COUNTIF($A:$A,'Client Level Data'!$A52))/COUNTIF($B:$B,$B52),0)</f>
        <v>0</v>
      </c>
      <c r="S52" s="131" t="str">
        <f>IF(SUMIFS($R:$R,$J:$J,"Yes",$B:$B,'Client Level Data'!$B52)&gt;0,"Chronic Flag","")</f>
        <v/>
      </c>
      <c r="T52" s="131" t="str">
        <f>IF(SUMIFS($R:$R,$G:$G,"Yes",$B:$B,'Client Level Data'!$B52)&gt;0,"PY Flag","")</f>
        <v/>
      </c>
      <c r="U52" s="131" t="str">
        <f>IF(SUMIFS($R:$R,$D:$D,"&lt;18",$G:$G,"Yes",$B:$B,'Client Level Data'!$B52)&gt;0,"PY &lt;18",IF(SUMIFS($R:$R,$D:$D,"&gt;17",$D:$D,"&lt;25",$G:$G,"Yes",$B:$B,'Client Level Data'!$B52)&gt;0,"PY &gt;17 &lt;25",""))</f>
        <v/>
      </c>
      <c r="V52" s="131">
        <f>IF('Client Level Data'!$K52="Yes",1,0)+IF('Client Level Data'!$L52="Yes",1,0)+IF('Client Level Data'!$M52="Yes",1,0)</f>
        <v>0</v>
      </c>
      <c r="W52" s="132" t="str">
        <f>IF(SUMIFS($R:$R,$F:$F,"Yes",$B:$B,'Client Level Data'!$B52)&gt;0,"Vet Flag","")</f>
        <v/>
      </c>
      <c r="X52" s="133">
        <f t="shared" si="11"/>
        <v>0</v>
      </c>
      <c r="Y52" s="133" t="e">
        <f t="shared" si="12"/>
        <v>#N/A</v>
      </c>
      <c r="Z52" s="133" t="e">
        <f t="shared" si="13"/>
        <v>#N/A</v>
      </c>
      <c r="AA52" s="133">
        <f t="shared" si="14"/>
        <v>0</v>
      </c>
      <c r="AB52" s="133" t="str">
        <f>IF(SUMIFS($R:$R,$H:$H,"Yes",$B:$B,'Client Level Data'!$B52)&gt;0,"CPY Flag","")</f>
        <v/>
      </c>
      <c r="AC52" s="133" t="str">
        <f t="shared" si="15"/>
        <v>N/A</v>
      </c>
      <c r="AD52" s="133">
        <f t="shared" si="16"/>
        <v>200</v>
      </c>
      <c r="AE52" s="133" t="str">
        <f t="shared" si="17"/>
        <v>Child</v>
      </c>
      <c r="AF52" s="133">
        <f t="shared" si="18"/>
        <v>200</v>
      </c>
      <c r="AG52" s="133" t="str">
        <f t="shared" si="19"/>
        <v>True</v>
      </c>
      <c r="AH52" s="133">
        <f t="shared" si="20"/>
        <v>200</v>
      </c>
      <c r="AI52" s="133" t="str">
        <f t="shared" si="21"/>
        <v>False</v>
      </c>
    </row>
    <row r="53" spans="1:35" ht="15.75" customHeight="1" x14ac:dyDescent="0.25">
      <c r="A53" s="8">
        <v>146</v>
      </c>
      <c r="B53" s="9"/>
      <c r="C53" s="9"/>
      <c r="D53" s="10"/>
      <c r="E53" s="156"/>
      <c r="F53" s="9"/>
      <c r="G53" s="9"/>
      <c r="H53" s="9"/>
      <c r="I53" s="9"/>
      <c r="J53" s="9"/>
      <c r="K53" s="148"/>
      <c r="L53" s="148"/>
      <c r="M53" s="148"/>
      <c r="N53" s="148"/>
      <c r="O53" s="112"/>
      <c r="P53" s="113"/>
      <c r="Q53" s="21">
        <f>IF(COUNTIF($B$8:$B53,$B53)=1,1,0)</f>
        <v>0</v>
      </c>
      <c r="R53" s="22">
        <f>IFERROR((COUNTIF($A:$A,'Client Level Data'!$A53))/COUNTIF($B:$B,$B53),0)</f>
        <v>0</v>
      </c>
      <c r="S53" s="22" t="str">
        <f>IF(SUMIFS($R:$R,$J:$J,"Yes",$B:$B,'Client Level Data'!$B53)&gt;0,"Chronic Flag","")</f>
        <v/>
      </c>
      <c r="T53" s="22" t="str">
        <f>IF(SUMIFS($R:$R,$G:$G,"Yes",$B:$B,'Client Level Data'!$B53)&gt;0,"PY Flag","")</f>
        <v/>
      </c>
      <c r="U53" s="22" t="str">
        <f>IF(SUMIFS($R:$R,$D:$D,"&lt;18",$G:$G,"Yes",$B:$B,'Client Level Data'!$B53)&gt;0,"PY &lt;18",IF(SUMIFS($R:$R,$D:$D,"&gt;17",$D:$D,"&lt;25",$G:$G,"Yes",$B:$B,'Client Level Data'!$B53)&gt;0,"PY &gt;17 &lt;25",""))</f>
        <v/>
      </c>
      <c r="V53" s="22">
        <f>IF('Client Level Data'!$K53="Yes",1,0)+IF('Client Level Data'!$L53="Yes",1,0)+IF('Client Level Data'!$M53="Yes",1,0)</f>
        <v>0</v>
      </c>
      <c r="W53" s="21" t="str">
        <f>IF(SUMIFS($R:$R,$F:$F,"Yes",$B:$B,'Client Level Data'!$B53)&gt;0,"Vet Flag","")</f>
        <v/>
      </c>
      <c r="X53" s="12">
        <f t="shared" si="11"/>
        <v>0</v>
      </c>
      <c r="Y53" s="12" t="e">
        <f t="shared" si="12"/>
        <v>#N/A</v>
      </c>
      <c r="Z53" s="12" t="e">
        <f t="shared" si="13"/>
        <v>#N/A</v>
      </c>
      <c r="AA53" s="12">
        <f t="shared" si="14"/>
        <v>0</v>
      </c>
      <c r="AB53" s="12" t="str">
        <f>IF(SUMIFS($R:$R,$H:$H,"Yes",$B:$B,'Client Level Data'!$B53)&gt;0,"CPY Flag","")</f>
        <v/>
      </c>
      <c r="AC53" s="12" t="str">
        <f t="shared" si="15"/>
        <v>N/A</v>
      </c>
      <c r="AD53" s="12">
        <f t="shared" si="16"/>
        <v>200</v>
      </c>
      <c r="AE53" s="12" t="str">
        <f t="shared" si="17"/>
        <v>Child</v>
      </c>
      <c r="AF53" s="12">
        <f t="shared" si="18"/>
        <v>200</v>
      </c>
      <c r="AG53" s="12" t="str">
        <f t="shared" si="19"/>
        <v>True</v>
      </c>
      <c r="AH53" s="12">
        <f t="shared" si="20"/>
        <v>200</v>
      </c>
      <c r="AI53" s="12" t="str">
        <f t="shared" si="21"/>
        <v>False</v>
      </c>
    </row>
    <row r="54" spans="1:35" s="133" customFormat="1" ht="15.75" customHeight="1" x14ac:dyDescent="0.25">
      <c r="A54" s="125">
        <v>147</v>
      </c>
      <c r="B54" s="126"/>
      <c r="C54" s="126"/>
      <c r="D54" s="127"/>
      <c r="E54" s="157"/>
      <c r="F54" s="126"/>
      <c r="G54" s="126"/>
      <c r="H54" s="126"/>
      <c r="I54" s="126"/>
      <c r="J54" s="126"/>
      <c r="K54" s="126"/>
      <c r="L54" s="126"/>
      <c r="M54" s="126"/>
      <c r="N54" s="126"/>
      <c r="O54" s="134"/>
      <c r="P54" s="135"/>
      <c r="Q54" s="132">
        <f>IF(COUNTIF($B$8:$B54,$B54)=1,1,0)</f>
        <v>0</v>
      </c>
      <c r="R54" s="131">
        <f>IFERROR((COUNTIF($A:$A,'Client Level Data'!$A54))/COUNTIF($B:$B,$B54),0)</f>
        <v>0</v>
      </c>
      <c r="S54" s="131" t="str">
        <f>IF(SUMIFS($R:$R,$J:$J,"Yes",$B:$B,'Client Level Data'!$B54)&gt;0,"Chronic Flag","")</f>
        <v/>
      </c>
      <c r="T54" s="131" t="str">
        <f>IF(SUMIFS($R:$R,$G:$G,"Yes",$B:$B,'Client Level Data'!$B54)&gt;0,"PY Flag","")</f>
        <v/>
      </c>
      <c r="U54" s="131" t="str">
        <f>IF(SUMIFS($R:$R,$D:$D,"&lt;18",$G:$G,"Yes",$B:$B,'Client Level Data'!$B54)&gt;0,"PY &lt;18",IF(SUMIFS($R:$R,$D:$D,"&gt;17",$D:$D,"&lt;25",$G:$G,"Yes",$B:$B,'Client Level Data'!$B54)&gt;0,"PY &gt;17 &lt;25",""))</f>
        <v/>
      </c>
      <c r="V54" s="131">
        <f>IF('Client Level Data'!$K54="Yes",1,0)+IF('Client Level Data'!$L54="Yes",1,0)+IF('Client Level Data'!$M54="Yes",1,0)</f>
        <v>0</v>
      </c>
      <c r="W54" s="132" t="str">
        <f>IF(SUMIFS($R:$R,$F:$F,"Yes",$B:$B,'Client Level Data'!$B54)&gt;0,"Vet Flag","")</f>
        <v/>
      </c>
      <c r="X54" s="133">
        <f t="shared" si="11"/>
        <v>0</v>
      </c>
      <c r="Y54" s="133" t="e">
        <f t="shared" si="12"/>
        <v>#N/A</v>
      </c>
      <c r="Z54" s="133" t="e">
        <f t="shared" si="13"/>
        <v>#N/A</v>
      </c>
      <c r="AA54" s="133">
        <f t="shared" si="14"/>
        <v>0</v>
      </c>
      <c r="AB54" s="133" t="str">
        <f>IF(SUMIFS($R:$R,$H:$H,"Yes",$B:$B,'Client Level Data'!$B54)&gt;0,"CPY Flag","")</f>
        <v/>
      </c>
      <c r="AC54" s="133" t="str">
        <f t="shared" si="15"/>
        <v>N/A</v>
      </c>
      <c r="AD54" s="133">
        <f t="shared" si="16"/>
        <v>200</v>
      </c>
      <c r="AE54" s="133" t="str">
        <f t="shared" si="17"/>
        <v>Child</v>
      </c>
      <c r="AF54" s="133">
        <f t="shared" si="18"/>
        <v>200</v>
      </c>
      <c r="AG54" s="133" t="str">
        <f t="shared" si="19"/>
        <v>True</v>
      </c>
      <c r="AH54" s="133">
        <f t="shared" si="20"/>
        <v>200</v>
      </c>
      <c r="AI54" s="133" t="str">
        <f t="shared" si="21"/>
        <v>False</v>
      </c>
    </row>
    <row r="55" spans="1:35" ht="15.75" customHeight="1" x14ac:dyDescent="0.25">
      <c r="A55" s="8">
        <v>148</v>
      </c>
      <c r="B55" s="9"/>
      <c r="C55" s="9"/>
      <c r="D55" s="10"/>
      <c r="E55" s="156"/>
      <c r="F55" s="9"/>
      <c r="G55" s="9"/>
      <c r="H55" s="9"/>
      <c r="I55" s="9"/>
      <c r="J55" s="9"/>
      <c r="K55" s="148"/>
      <c r="L55" s="148"/>
      <c r="M55" s="148"/>
      <c r="N55" s="148"/>
      <c r="O55" s="112"/>
      <c r="P55" s="113"/>
      <c r="Q55" s="21">
        <f>IF(COUNTIF($B$8:$B55,$B55)=1,1,0)</f>
        <v>0</v>
      </c>
      <c r="R55" s="22">
        <f>IFERROR((COUNTIF($A:$A,'Client Level Data'!$A55))/COUNTIF($B:$B,$B55),0)</f>
        <v>0</v>
      </c>
      <c r="S55" s="22" t="str">
        <f>IF(SUMIFS($R:$R,$J:$J,"Yes",$B:$B,'Client Level Data'!$B55)&gt;0,"Chronic Flag","")</f>
        <v/>
      </c>
      <c r="T55" s="22" t="str">
        <f>IF(SUMIFS($R:$R,$G:$G,"Yes",$B:$B,'Client Level Data'!$B55)&gt;0,"PY Flag","")</f>
        <v/>
      </c>
      <c r="U55" s="22" t="str">
        <f>IF(SUMIFS($R:$R,$D:$D,"&lt;18",$G:$G,"Yes",$B:$B,'Client Level Data'!$B55)&gt;0,"PY &lt;18",IF(SUMIFS($R:$R,$D:$D,"&gt;17",$D:$D,"&lt;25",$G:$G,"Yes",$B:$B,'Client Level Data'!$B55)&gt;0,"PY &gt;17 &lt;25",""))</f>
        <v/>
      </c>
      <c r="V55" s="22">
        <f>IF('Client Level Data'!$K55="Yes",1,0)+IF('Client Level Data'!$L55="Yes",1,0)+IF('Client Level Data'!$M55="Yes",1,0)</f>
        <v>0</v>
      </c>
      <c r="W55" s="21" t="str">
        <f>IF(SUMIFS($R:$R,$F:$F,"Yes",$B:$B,'Client Level Data'!$B55)&gt;0,"Vet Flag","")</f>
        <v/>
      </c>
      <c r="X55" s="12">
        <f t="shared" si="11"/>
        <v>0</v>
      </c>
      <c r="Y55" s="12" t="e">
        <f t="shared" si="12"/>
        <v>#N/A</v>
      </c>
      <c r="Z55" s="12" t="e">
        <f t="shared" si="13"/>
        <v>#N/A</v>
      </c>
      <c r="AA55" s="12">
        <f t="shared" si="14"/>
        <v>0</v>
      </c>
      <c r="AB55" s="12" t="str">
        <f>IF(SUMIFS($R:$R,$H:$H,"Yes",$B:$B,'Client Level Data'!$B55)&gt;0,"CPY Flag","")</f>
        <v/>
      </c>
      <c r="AC55" s="12" t="str">
        <f t="shared" si="15"/>
        <v>N/A</v>
      </c>
      <c r="AD55" s="12">
        <f t="shared" si="16"/>
        <v>200</v>
      </c>
      <c r="AE55" s="12" t="str">
        <f t="shared" si="17"/>
        <v>Child</v>
      </c>
      <c r="AF55" s="12">
        <f t="shared" si="18"/>
        <v>200</v>
      </c>
      <c r="AG55" s="12" t="str">
        <f t="shared" si="19"/>
        <v>True</v>
      </c>
      <c r="AH55" s="12">
        <f t="shared" si="20"/>
        <v>200</v>
      </c>
      <c r="AI55" s="12" t="str">
        <f t="shared" si="21"/>
        <v>False</v>
      </c>
    </row>
    <row r="56" spans="1:35" s="133" customFormat="1" ht="15.75" customHeight="1" x14ac:dyDescent="0.25">
      <c r="A56" s="125">
        <v>149</v>
      </c>
      <c r="B56" s="126"/>
      <c r="C56" s="126"/>
      <c r="D56" s="127"/>
      <c r="E56" s="157"/>
      <c r="F56" s="126"/>
      <c r="G56" s="126"/>
      <c r="H56" s="126"/>
      <c r="I56" s="126"/>
      <c r="J56" s="126"/>
      <c r="K56" s="126"/>
      <c r="L56" s="126"/>
      <c r="M56" s="126"/>
      <c r="N56" s="126"/>
      <c r="O56" s="136"/>
      <c r="P56" s="136"/>
      <c r="Q56" s="132">
        <f>IF(COUNTIF($B$8:$B56,$B56)=1,1,0)</f>
        <v>0</v>
      </c>
      <c r="R56" s="131">
        <f>IFERROR((COUNTIF($A:$A,'Client Level Data'!$A56))/COUNTIF($B:$B,$B56),0)</f>
        <v>0</v>
      </c>
      <c r="S56" s="131" t="str">
        <f>IF(SUMIFS($R:$R,$J:$J,"Yes",$B:$B,'Client Level Data'!$B56)&gt;0,"Chronic Flag","")</f>
        <v/>
      </c>
      <c r="T56" s="131" t="str">
        <f>IF(SUMIFS($R:$R,$G:$G,"Yes",$B:$B,'Client Level Data'!$B56)&gt;0,"PY Flag","")</f>
        <v/>
      </c>
      <c r="U56" s="131" t="str">
        <f>IF(SUMIFS($R:$R,$D:$D,"&lt;18",$G:$G,"Yes",$B:$B,'Client Level Data'!$B56)&gt;0,"PY &lt;18",IF(SUMIFS($R:$R,$D:$D,"&gt;17",$D:$D,"&lt;25",$G:$G,"Yes",$B:$B,'Client Level Data'!$B56)&gt;0,"PY &gt;17 &lt;25",""))</f>
        <v/>
      </c>
      <c r="V56" s="131">
        <f>IF('Client Level Data'!$K56="Yes",1,0)+IF('Client Level Data'!$L56="Yes",1,0)+IF('Client Level Data'!$M56="Yes",1,0)</f>
        <v>0</v>
      </c>
      <c r="W56" s="132" t="str">
        <f>IF(SUMIFS($R:$R,$F:$F,"Yes",$B:$B,'Client Level Data'!$B56)&gt;0,"Vet Flag","")</f>
        <v/>
      </c>
      <c r="X56" s="133">
        <f t="shared" si="11"/>
        <v>0</v>
      </c>
      <c r="Y56" s="133" t="e">
        <f t="shared" si="12"/>
        <v>#N/A</v>
      </c>
      <c r="Z56" s="133" t="e">
        <f t="shared" si="13"/>
        <v>#N/A</v>
      </c>
      <c r="AA56" s="133">
        <f t="shared" si="14"/>
        <v>0</v>
      </c>
      <c r="AB56" s="133" t="str">
        <f>IF(SUMIFS($R:$R,$H:$H,"Yes",$B:$B,'Client Level Data'!$B56)&gt;0,"CPY Flag","")</f>
        <v/>
      </c>
      <c r="AC56" s="133" t="str">
        <f t="shared" si="15"/>
        <v>N/A</v>
      </c>
      <c r="AD56" s="133">
        <f t="shared" si="16"/>
        <v>200</v>
      </c>
      <c r="AE56" s="133" t="str">
        <f t="shared" si="17"/>
        <v>Child</v>
      </c>
      <c r="AF56" s="133">
        <f t="shared" si="18"/>
        <v>200</v>
      </c>
      <c r="AG56" s="133" t="str">
        <f t="shared" si="19"/>
        <v>True</v>
      </c>
      <c r="AH56" s="133">
        <f t="shared" si="20"/>
        <v>200</v>
      </c>
      <c r="AI56" s="133" t="str">
        <f t="shared" si="21"/>
        <v>False</v>
      </c>
    </row>
    <row r="57" spans="1:35" ht="15.75" customHeight="1" x14ac:dyDescent="0.25">
      <c r="A57" s="8">
        <v>150</v>
      </c>
      <c r="B57" s="9"/>
      <c r="C57" s="9"/>
      <c r="D57" s="10"/>
      <c r="E57" s="156"/>
      <c r="F57" s="9"/>
      <c r="G57" s="9"/>
      <c r="H57" s="9"/>
      <c r="I57" s="9"/>
      <c r="J57" s="9"/>
      <c r="K57" s="148"/>
      <c r="L57" s="148"/>
      <c r="M57" s="148"/>
      <c r="N57" s="148"/>
      <c r="O57" s="110"/>
      <c r="P57" s="111"/>
      <c r="Q57" s="109">
        <f>IF(COUNTIF($B$8:$B57,$B57)=1,1,0)</f>
        <v>0</v>
      </c>
      <c r="R57" s="22">
        <f>IFERROR((COUNTIF($A:$A,'Client Level Data'!$A57))/COUNTIF($B:$B,$B57),0)</f>
        <v>0</v>
      </c>
      <c r="S57" s="22" t="str">
        <f>IF(SUMIFS($R:$R,$J:$J,"Yes",$B:$B,'Client Level Data'!$B57)&gt;0,"Chronic Flag","")</f>
        <v/>
      </c>
      <c r="T57" s="22" t="str">
        <f>IF(SUMIFS($R:$R,$G:$G,"Yes",$B:$B,'Client Level Data'!$B57)&gt;0,"PY Flag","")</f>
        <v/>
      </c>
      <c r="U57" s="22" t="str">
        <f>IF(SUMIFS($R:$R,$D:$D,"&lt;18",$G:$G,"Yes",$B:$B,'Client Level Data'!$B57)&gt;0,"PY &lt;18",IF(SUMIFS($R:$R,$D:$D,"&gt;17",$D:$D,"&lt;25",$G:$G,"Yes",$B:$B,'Client Level Data'!$B57)&gt;0,"PY &gt;17 &lt;25",""))</f>
        <v/>
      </c>
      <c r="V57" s="22">
        <f>IF('Client Level Data'!$K57="Yes",1,0)+IF('Client Level Data'!$L57="Yes",1,0)+IF('Client Level Data'!$M57="Yes",1,0)</f>
        <v>0</v>
      </c>
      <c r="W57" s="21" t="str">
        <f>IF(SUMIFS($R:$R,$F:$F,"Yes",$B:$B,'Client Level Data'!$B57)&gt;0,"Vet Flag","")</f>
        <v/>
      </c>
      <c r="X57" s="12">
        <f t="shared" si="11"/>
        <v>0</v>
      </c>
      <c r="Y57" s="12" t="e">
        <f t="shared" si="12"/>
        <v>#N/A</v>
      </c>
      <c r="Z57" s="12" t="e">
        <f t="shared" si="13"/>
        <v>#N/A</v>
      </c>
      <c r="AA57" s="12">
        <f t="shared" si="14"/>
        <v>0</v>
      </c>
      <c r="AB57" s="12" t="str">
        <f>IF(SUMIFS($R:$R,$H:$H,"Yes",$B:$B,'Client Level Data'!$B57)&gt;0,"CPY Flag","")</f>
        <v/>
      </c>
      <c r="AC57" s="12" t="str">
        <f t="shared" si="15"/>
        <v>N/A</v>
      </c>
      <c r="AD57" s="12">
        <f t="shared" si="16"/>
        <v>200</v>
      </c>
      <c r="AE57" s="12" t="str">
        <f t="shared" si="17"/>
        <v>Child</v>
      </c>
      <c r="AF57" s="12">
        <f t="shared" si="18"/>
        <v>200</v>
      </c>
      <c r="AG57" s="12" t="str">
        <f t="shared" si="19"/>
        <v>True</v>
      </c>
      <c r="AH57" s="12">
        <f t="shared" si="20"/>
        <v>200</v>
      </c>
      <c r="AI57" s="12" t="str">
        <f t="shared" si="21"/>
        <v>False</v>
      </c>
    </row>
    <row r="58" spans="1:35" s="133" customFormat="1" ht="15.75" customHeight="1" x14ac:dyDescent="0.25">
      <c r="A58" s="125">
        <v>151</v>
      </c>
      <c r="B58" s="126"/>
      <c r="C58" s="126"/>
      <c r="D58" s="127"/>
      <c r="E58" s="157"/>
      <c r="F58" s="126"/>
      <c r="G58" s="126"/>
      <c r="H58" s="126"/>
      <c r="I58" s="126"/>
      <c r="J58" s="126"/>
      <c r="K58" s="126"/>
      <c r="L58" s="126"/>
      <c r="M58" s="126"/>
      <c r="N58" s="126"/>
      <c r="O58" s="134"/>
      <c r="P58" s="135"/>
      <c r="Q58" s="132">
        <f>IF(COUNTIF($B$8:$B58,$B58)=1,1,0)</f>
        <v>0</v>
      </c>
      <c r="R58" s="131">
        <f>IFERROR((COUNTIF($A:$A,'Client Level Data'!$A58))/COUNTIF($B:$B,$B58),0)</f>
        <v>0</v>
      </c>
      <c r="S58" s="131" t="str">
        <f>IF(SUMIFS($R:$R,$J:$J,"Yes",$B:$B,'Client Level Data'!$B58)&gt;0,"Chronic Flag","")</f>
        <v/>
      </c>
      <c r="T58" s="131" t="str">
        <f>IF(SUMIFS($R:$R,$G:$G,"Yes",$B:$B,'Client Level Data'!$B58)&gt;0,"PY Flag","")</f>
        <v/>
      </c>
      <c r="U58" s="131" t="str">
        <f>IF(SUMIFS($R:$R,$D:$D,"&lt;18",$G:$G,"Yes",$B:$B,'Client Level Data'!$B58)&gt;0,"PY &lt;18",IF(SUMIFS($R:$R,$D:$D,"&gt;17",$D:$D,"&lt;25",$G:$G,"Yes",$B:$B,'Client Level Data'!$B58)&gt;0,"PY &gt;17 &lt;25",""))</f>
        <v/>
      </c>
      <c r="V58" s="131">
        <f>IF('Client Level Data'!$K58="Yes",1,0)+IF('Client Level Data'!$L58="Yes",1,0)+IF('Client Level Data'!$M58="Yes",1,0)</f>
        <v>0</v>
      </c>
      <c r="W58" s="132" t="str">
        <f>IF(SUMIFS($R:$R,$F:$F,"Yes",$B:$B,'Client Level Data'!$B58)&gt;0,"Vet Flag","")</f>
        <v/>
      </c>
      <c r="X58" s="133">
        <f t="shared" si="11"/>
        <v>0</v>
      </c>
      <c r="Y58" s="133" t="e">
        <f t="shared" si="12"/>
        <v>#N/A</v>
      </c>
      <c r="Z58" s="133" t="e">
        <f t="shared" si="13"/>
        <v>#N/A</v>
      </c>
      <c r="AA58" s="133">
        <f t="shared" si="14"/>
        <v>0</v>
      </c>
      <c r="AB58" s="133" t="str">
        <f>IF(SUMIFS($R:$R,$H:$H,"Yes",$B:$B,'Client Level Data'!$B58)&gt;0,"CPY Flag","")</f>
        <v/>
      </c>
      <c r="AC58" s="133" t="str">
        <f t="shared" si="15"/>
        <v>N/A</v>
      </c>
      <c r="AD58" s="133">
        <f t="shared" si="16"/>
        <v>200</v>
      </c>
      <c r="AE58" s="133" t="str">
        <f t="shared" si="17"/>
        <v>Child</v>
      </c>
      <c r="AF58" s="133">
        <f t="shared" si="18"/>
        <v>200</v>
      </c>
      <c r="AG58" s="133" t="str">
        <f t="shared" si="19"/>
        <v>True</v>
      </c>
      <c r="AH58" s="133">
        <f t="shared" si="20"/>
        <v>200</v>
      </c>
      <c r="AI58" s="133" t="str">
        <f t="shared" si="21"/>
        <v>False</v>
      </c>
    </row>
    <row r="59" spans="1:35" ht="15.75" customHeight="1" x14ac:dyDescent="0.25">
      <c r="A59" s="8">
        <v>152</v>
      </c>
      <c r="B59" s="9"/>
      <c r="C59" s="9"/>
      <c r="D59" s="10"/>
      <c r="E59" s="156"/>
      <c r="F59" s="9"/>
      <c r="G59" s="9"/>
      <c r="H59" s="9"/>
      <c r="I59" s="9"/>
      <c r="J59" s="9"/>
      <c r="K59" s="148"/>
      <c r="L59" s="148"/>
      <c r="M59" s="148"/>
      <c r="N59" s="148"/>
      <c r="O59" s="112"/>
      <c r="P59" s="113"/>
      <c r="Q59" s="21">
        <f>IF(COUNTIF($B$8:$B59,$B59)=1,1,0)</f>
        <v>0</v>
      </c>
      <c r="R59" s="22">
        <f>IFERROR((COUNTIF($A:$A,'Client Level Data'!$A59))/COUNTIF($B:$B,$B59),0)</f>
        <v>0</v>
      </c>
      <c r="S59" s="22" t="str">
        <f>IF(SUMIFS($R:$R,$J:$J,"Yes",$B:$B,'Client Level Data'!$B59)&gt;0,"Chronic Flag","")</f>
        <v/>
      </c>
      <c r="T59" s="22" t="str">
        <f>IF(SUMIFS($R:$R,$G:$G,"Yes",$B:$B,'Client Level Data'!$B59)&gt;0,"PY Flag","")</f>
        <v/>
      </c>
      <c r="U59" s="22" t="str">
        <f>IF(SUMIFS($R:$R,$D:$D,"&lt;18",$G:$G,"Yes",$B:$B,'Client Level Data'!$B59)&gt;0,"PY &lt;18",IF(SUMIFS($R:$R,$D:$D,"&gt;17",$D:$D,"&lt;25",$G:$G,"Yes",$B:$B,'Client Level Data'!$B59)&gt;0,"PY &gt;17 &lt;25",""))</f>
        <v/>
      </c>
      <c r="V59" s="22">
        <f>IF('Client Level Data'!$K59="Yes",1,0)+IF('Client Level Data'!$L59="Yes",1,0)+IF('Client Level Data'!$M59="Yes",1,0)</f>
        <v>0</v>
      </c>
      <c r="W59" s="21" t="str">
        <f>IF(SUMIFS($R:$R,$F:$F,"Yes",$B:$B,'Client Level Data'!$B59)&gt;0,"Vet Flag","")</f>
        <v/>
      </c>
      <c r="X59" s="12">
        <f t="shared" si="11"/>
        <v>0</v>
      </c>
      <c r="Y59" s="12" t="e">
        <f t="shared" si="12"/>
        <v>#N/A</v>
      </c>
      <c r="Z59" s="12" t="e">
        <f t="shared" si="13"/>
        <v>#N/A</v>
      </c>
      <c r="AA59" s="12">
        <f t="shared" si="14"/>
        <v>0</v>
      </c>
      <c r="AB59" s="12" t="str">
        <f>IF(SUMIFS($R:$R,$H:$H,"Yes",$B:$B,'Client Level Data'!$B59)&gt;0,"CPY Flag","")</f>
        <v/>
      </c>
      <c r="AC59" s="12" t="str">
        <f t="shared" si="15"/>
        <v>N/A</v>
      </c>
      <c r="AD59" s="12">
        <f t="shared" si="16"/>
        <v>200</v>
      </c>
      <c r="AE59" s="12" t="str">
        <f t="shared" si="17"/>
        <v>Child</v>
      </c>
      <c r="AF59" s="12">
        <f t="shared" si="18"/>
        <v>200</v>
      </c>
      <c r="AG59" s="12" t="str">
        <f t="shared" si="19"/>
        <v>True</v>
      </c>
      <c r="AH59" s="12">
        <f t="shared" si="20"/>
        <v>200</v>
      </c>
      <c r="AI59" s="12" t="str">
        <f t="shared" si="21"/>
        <v>False</v>
      </c>
    </row>
    <row r="60" spans="1:35" s="133" customFormat="1" ht="15.75" customHeight="1" x14ac:dyDescent="0.25">
      <c r="A60" s="125">
        <v>153</v>
      </c>
      <c r="B60" s="126"/>
      <c r="C60" s="126"/>
      <c r="D60" s="127"/>
      <c r="E60" s="157"/>
      <c r="F60" s="126"/>
      <c r="G60" s="126"/>
      <c r="H60" s="126"/>
      <c r="I60" s="126"/>
      <c r="J60" s="126"/>
      <c r="K60" s="126"/>
      <c r="L60" s="126"/>
      <c r="M60" s="126"/>
      <c r="N60" s="126"/>
      <c r="O60" s="134"/>
      <c r="P60" s="135"/>
      <c r="Q60" s="132">
        <f>IF(COUNTIF($B$8:$B60,$B60)=1,1,0)</f>
        <v>0</v>
      </c>
      <c r="R60" s="131">
        <f>IFERROR((COUNTIF($A:$A,'Client Level Data'!$A60))/COUNTIF($B:$B,$B60),0)</f>
        <v>0</v>
      </c>
      <c r="S60" s="131" t="str">
        <f>IF(SUMIFS($R:$R,$J:$J,"Yes",$B:$B,'Client Level Data'!$B60)&gt;0,"Chronic Flag","")</f>
        <v/>
      </c>
      <c r="T60" s="131" t="str">
        <f>IF(SUMIFS($R:$R,$G:$G,"Yes",$B:$B,'Client Level Data'!$B60)&gt;0,"PY Flag","")</f>
        <v/>
      </c>
      <c r="U60" s="131" t="str">
        <f>IF(SUMIFS($R:$R,$D:$D,"&lt;18",$G:$G,"Yes",$B:$B,'Client Level Data'!$B60)&gt;0,"PY &lt;18",IF(SUMIFS($R:$R,$D:$D,"&gt;17",$D:$D,"&lt;25",$G:$G,"Yes",$B:$B,'Client Level Data'!$B60)&gt;0,"PY &gt;17 &lt;25",""))</f>
        <v/>
      </c>
      <c r="V60" s="131">
        <f>IF('Client Level Data'!$K60="Yes",1,0)+IF('Client Level Data'!$L60="Yes",1,0)+IF('Client Level Data'!$M60="Yes",1,0)</f>
        <v>0</v>
      </c>
      <c r="W60" s="132" t="str">
        <f>IF(SUMIFS($R:$R,$F:$F,"Yes",$B:$B,'Client Level Data'!$B60)&gt;0,"Vet Flag","")</f>
        <v/>
      </c>
      <c r="X60" s="133">
        <f t="shared" si="11"/>
        <v>0</v>
      </c>
      <c r="Y60" s="133" t="e">
        <f t="shared" si="12"/>
        <v>#N/A</v>
      </c>
      <c r="Z60" s="133" t="e">
        <f t="shared" si="13"/>
        <v>#N/A</v>
      </c>
      <c r="AA60" s="133">
        <f t="shared" si="14"/>
        <v>0</v>
      </c>
      <c r="AB60" s="133" t="str">
        <f>IF(SUMIFS($R:$R,$H:$H,"Yes",$B:$B,'Client Level Data'!$B60)&gt;0,"CPY Flag","")</f>
        <v/>
      </c>
      <c r="AC60" s="133" t="str">
        <f t="shared" si="15"/>
        <v>N/A</v>
      </c>
      <c r="AD60" s="133">
        <f t="shared" si="16"/>
        <v>200</v>
      </c>
      <c r="AE60" s="133" t="str">
        <f t="shared" si="17"/>
        <v>Child</v>
      </c>
      <c r="AF60" s="133">
        <f t="shared" si="18"/>
        <v>200</v>
      </c>
      <c r="AG60" s="133" t="str">
        <f t="shared" si="19"/>
        <v>True</v>
      </c>
      <c r="AH60" s="133">
        <f t="shared" si="20"/>
        <v>200</v>
      </c>
      <c r="AI60" s="133" t="str">
        <f t="shared" si="21"/>
        <v>False</v>
      </c>
    </row>
    <row r="61" spans="1:35" ht="15.75" customHeight="1" x14ac:dyDescent="0.25">
      <c r="A61" s="8">
        <v>154</v>
      </c>
      <c r="B61" s="9"/>
      <c r="C61" s="9"/>
      <c r="D61" s="10"/>
      <c r="E61" s="156"/>
      <c r="F61" s="9"/>
      <c r="G61" s="9"/>
      <c r="H61" s="9"/>
      <c r="I61" s="9"/>
      <c r="J61" s="9"/>
      <c r="K61" s="148"/>
      <c r="L61" s="148"/>
      <c r="M61" s="148"/>
      <c r="N61" s="148"/>
      <c r="O61" s="11"/>
      <c r="P61" s="11"/>
      <c r="Q61" s="21">
        <f>IF(COUNTIF($B$8:$B61,$B61)=1,1,0)</f>
        <v>0</v>
      </c>
      <c r="R61" s="22">
        <f>IFERROR((COUNTIF($A:$A,'Client Level Data'!$A61))/COUNTIF($B:$B,$B61),0)</f>
        <v>0</v>
      </c>
      <c r="S61" s="22" t="str">
        <f>IF(SUMIFS($R:$R,$J:$J,"Yes",$B:$B,'Client Level Data'!$B61)&gt;0,"Chronic Flag","")</f>
        <v/>
      </c>
      <c r="T61" s="22" t="str">
        <f>IF(SUMIFS($R:$R,$G:$G,"Yes",$B:$B,'Client Level Data'!$B61)&gt;0,"PY Flag","")</f>
        <v/>
      </c>
      <c r="U61" s="22" t="str">
        <f>IF(SUMIFS($R:$R,$D:$D,"&lt;18",$G:$G,"Yes",$B:$B,'Client Level Data'!$B61)&gt;0,"PY &lt;18",IF(SUMIFS($R:$R,$D:$D,"&gt;17",$D:$D,"&lt;25",$G:$G,"Yes",$B:$B,'Client Level Data'!$B61)&gt;0,"PY &gt;17 &lt;25",""))</f>
        <v/>
      </c>
      <c r="V61" s="22">
        <f>IF('Client Level Data'!$K61="Yes",1,0)+IF('Client Level Data'!$L61="Yes",1,0)+IF('Client Level Data'!$M61="Yes",1,0)</f>
        <v>0</v>
      </c>
      <c r="W61" s="21" t="str">
        <f>IF(SUMIFS($R:$R,$F:$F,"Yes",$B:$B,'Client Level Data'!$B61)&gt;0,"Vet Flag","")</f>
        <v/>
      </c>
      <c r="X61" s="12">
        <f t="shared" si="11"/>
        <v>0</v>
      </c>
      <c r="Y61" s="12" t="e">
        <f t="shared" si="12"/>
        <v>#N/A</v>
      </c>
      <c r="Z61" s="12" t="e">
        <f t="shared" si="13"/>
        <v>#N/A</v>
      </c>
      <c r="AA61" s="12">
        <f t="shared" si="14"/>
        <v>0</v>
      </c>
      <c r="AB61" s="12" t="str">
        <f>IF(SUMIFS($R:$R,$H:$H,"Yes",$B:$B,'Client Level Data'!$B61)&gt;0,"CPY Flag","")</f>
        <v/>
      </c>
      <c r="AC61" s="12" t="str">
        <f t="shared" si="15"/>
        <v>N/A</v>
      </c>
      <c r="AD61" s="12">
        <f t="shared" si="16"/>
        <v>200</v>
      </c>
      <c r="AE61" s="12" t="str">
        <f t="shared" si="17"/>
        <v>Child</v>
      </c>
      <c r="AF61" s="12">
        <f t="shared" si="18"/>
        <v>200</v>
      </c>
      <c r="AG61" s="12" t="str">
        <f t="shared" si="19"/>
        <v>True</v>
      </c>
      <c r="AH61" s="12">
        <f t="shared" si="20"/>
        <v>200</v>
      </c>
      <c r="AI61" s="12" t="str">
        <f t="shared" si="21"/>
        <v>False</v>
      </c>
    </row>
    <row r="62" spans="1:35" s="133" customFormat="1" ht="15.75" customHeight="1" x14ac:dyDescent="0.25">
      <c r="A62" s="125">
        <v>155</v>
      </c>
      <c r="B62" s="126"/>
      <c r="C62" s="126"/>
      <c r="D62" s="127"/>
      <c r="E62" s="157"/>
      <c r="F62" s="126"/>
      <c r="G62" s="126"/>
      <c r="H62" s="126"/>
      <c r="I62" s="126"/>
      <c r="J62" s="126"/>
      <c r="K62" s="126"/>
      <c r="L62" s="126"/>
      <c r="M62" s="126"/>
      <c r="N62" s="126"/>
      <c r="O62" s="128"/>
      <c r="P62" s="129"/>
      <c r="Q62" s="130">
        <f>IF(COUNTIF($B$8:$B62,$B62)=1,1,0)</f>
        <v>0</v>
      </c>
      <c r="R62" s="131">
        <f>IFERROR((COUNTIF($A:$A,'Client Level Data'!$A62))/COUNTIF($B:$B,$B62),0)</f>
        <v>0</v>
      </c>
      <c r="S62" s="131" t="str">
        <f>IF(SUMIFS($R:$R,$J:$J,"Yes",$B:$B,'Client Level Data'!$B62)&gt;0,"Chronic Flag","")</f>
        <v/>
      </c>
      <c r="T62" s="131" t="str">
        <f>IF(SUMIFS($R:$R,$G:$G,"Yes",$B:$B,'Client Level Data'!$B62)&gt;0,"PY Flag","")</f>
        <v/>
      </c>
      <c r="U62" s="131" t="str">
        <f>IF(SUMIFS($R:$R,$D:$D,"&lt;18",$G:$G,"Yes",$B:$B,'Client Level Data'!$B62)&gt;0,"PY &lt;18",IF(SUMIFS($R:$R,$D:$D,"&gt;17",$D:$D,"&lt;25",$G:$G,"Yes",$B:$B,'Client Level Data'!$B62)&gt;0,"PY &gt;17 &lt;25",""))</f>
        <v/>
      </c>
      <c r="V62" s="131">
        <f>IF('Client Level Data'!$K62="Yes",1,0)+IF('Client Level Data'!$L62="Yes",1,0)+IF('Client Level Data'!$M62="Yes",1,0)</f>
        <v>0</v>
      </c>
      <c r="W62" s="132" t="str">
        <f>IF(SUMIFS($R:$R,$F:$F,"Yes",$B:$B,'Client Level Data'!$B62)&gt;0,"Vet Flag","")</f>
        <v/>
      </c>
      <c r="X62" s="133">
        <f t="shared" si="11"/>
        <v>0</v>
      </c>
      <c r="Y62" s="133" t="e">
        <f t="shared" si="12"/>
        <v>#N/A</v>
      </c>
      <c r="Z62" s="133" t="e">
        <f t="shared" si="13"/>
        <v>#N/A</v>
      </c>
      <c r="AA62" s="133">
        <f t="shared" si="14"/>
        <v>0</v>
      </c>
      <c r="AB62" s="133" t="str">
        <f>IF(SUMIFS($R:$R,$H:$H,"Yes",$B:$B,'Client Level Data'!$B62)&gt;0,"CPY Flag","")</f>
        <v/>
      </c>
      <c r="AC62" s="133" t="str">
        <f t="shared" si="15"/>
        <v>N/A</v>
      </c>
      <c r="AD62" s="133">
        <f t="shared" si="16"/>
        <v>200</v>
      </c>
      <c r="AE62" s="133" t="str">
        <f t="shared" si="17"/>
        <v>Child</v>
      </c>
      <c r="AF62" s="133">
        <f t="shared" si="18"/>
        <v>200</v>
      </c>
      <c r="AG62" s="133" t="str">
        <f t="shared" si="19"/>
        <v>True</v>
      </c>
      <c r="AH62" s="133">
        <f t="shared" si="20"/>
        <v>200</v>
      </c>
      <c r="AI62" s="133" t="str">
        <f t="shared" si="21"/>
        <v>False</v>
      </c>
    </row>
    <row r="63" spans="1:35" ht="15.75" customHeight="1" x14ac:dyDescent="0.25">
      <c r="A63" s="8">
        <v>156</v>
      </c>
      <c r="B63" s="9"/>
      <c r="C63" s="9"/>
      <c r="D63" s="10"/>
      <c r="E63" s="156"/>
      <c r="F63" s="9"/>
      <c r="G63" s="9"/>
      <c r="H63" s="9"/>
      <c r="I63" s="9"/>
      <c r="J63" s="9"/>
      <c r="K63" s="148"/>
      <c r="L63" s="148"/>
      <c r="M63" s="148"/>
      <c r="N63" s="148"/>
      <c r="O63" s="110"/>
      <c r="P63" s="111"/>
      <c r="Q63" s="109">
        <f>IF(COUNTIF($B$8:$B63,$B63)=1,1,0)</f>
        <v>0</v>
      </c>
      <c r="R63" s="22">
        <f>IFERROR((COUNTIF($A:$A,'Client Level Data'!$A63))/COUNTIF($B:$B,$B63),0)</f>
        <v>0</v>
      </c>
      <c r="S63" s="22" t="str">
        <f>IF(SUMIFS($R:$R,$J:$J,"Yes",$B:$B,'Client Level Data'!$B63)&gt;0,"Chronic Flag","")</f>
        <v/>
      </c>
      <c r="T63" s="22" t="str">
        <f>IF(SUMIFS($R:$R,$G:$G,"Yes",$B:$B,'Client Level Data'!$B63)&gt;0,"PY Flag","")</f>
        <v/>
      </c>
      <c r="U63" s="22" t="str">
        <f>IF(SUMIFS($R:$R,$D:$D,"&lt;18",$G:$G,"Yes",$B:$B,'Client Level Data'!$B63)&gt;0,"PY &lt;18",IF(SUMIFS($R:$R,$D:$D,"&gt;17",$D:$D,"&lt;25",$G:$G,"Yes",$B:$B,'Client Level Data'!$B63)&gt;0,"PY &gt;17 &lt;25",""))</f>
        <v/>
      </c>
      <c r="V63" s="22">
        <f>IF('Client Level Data'!$K63="Yes",1,0)+IF('Client Level Data'!$L63="Yes",1,0)+IF('Client Level Data'!$M63="Yes",1,0)</f>
        <v>0</v>
      </c>
      <c r="W63" s="21" t="str">
        <f>IF(SUMIFS($R:$R,$F:$F,"Yes",$B:$B,'Client Level Data'!$B63)&gt;0,"Vet Flag","")</f>
        <v/>
      </c>
      <c r="X63" s="12">
        <f t="shared" si="11"/>
        <v>0</v>
      </c>
      <c r="Y63" s="12" t="e">
        <f t="shared" si="12"/>
        <v>#N/A</v>
      </c>
      <c r="Z63" s="12" t="e">
        <f t="shared" si="13"/>
        <v>#N/A</v>
      </c>
      <c r="AA63" s="12">
        <f t="shared" si="14"/>
        <v>0</v>
      </c>
      <c r="AB63" s="12" t="str">
        <f>IF(SUMIFS($R:$R,$H:$H,"Yes",$B:$B,'Client Level Data'!$B63)&gt;0,"CPY Flag","")</f>
        <v/>
      </c>
      <c r="AC63" s="12" t="str">
        <f t="shared" si="15"/>
        <v>N/A</v>
      </c>
      <c r="AD63" s="12">
        <f t="shared" si="16"/>
        <v>200</v>
      </c>
      <c r="AE63" s="12" t="str">
        <f t="shared" si="17"/>
        <v>Child</v>
      </c>
      <c r="AF63" s="12">
        <f t="shared" si="18"/>
        <v>200</v>
      </c>
      <c r="AG63" s="12" t="str">
        <f t="shared" si="19"/>
        <v>True</v>
      </c>
      <c r="AH63" s="12">
        <f t="shared" si="20"/>
        <v>200</v>
      </c>
      <c r="AI63" s="12" t="str">
        <f t="shared" si="21"/>
        <v>False</v>
      </c>
    </row>
    <row r="64" spans="1:35" s="133" customFormat="1" ht="15.75" customHeight="1" x14ac:dyDescent="0.25">
      <c r="A64" s="125">
        <v>157</v>
      </c>
      <c r="B64" s="126"/>
      <c r="C64" s="126"/>
      <c r="D64" s="127"/>
      <c r="E64" s="157"/>
      <c r="F64" s="126"/>
      <c r="G64" s="126"/>
      <c r="H64" s="126"/>
      <c r="I64" s="126"/>
      <c r="J64" s="126"/>
      <c r="K64" s="126"/>
      <c r="L64" s="126"/>
      <c r="M64" s="126"/>
      <c r="N64" s="126"/>
      <c r="O64" s="128"/>
      <c r="P64" s="129"/>
      <c r="Q64" s="130">
        <f>IF(COUNTIF($B$8:$B64,$B64)=1,1,0)</f>
        <v>0</v>
      </c>
      <c r="R64" s="131">
        <f>IFERROR((COUNTIF($A:$A,'Client Level Data'!$A64))/COUNTIF($B:$B,$B64),0)</f>
        <v>0</v>
      </c>
      <c r="S64" s="131" t="str">
        <f>IF(SUMIFS($R:$R,$J:$J,"Yes",$B:$B,'Client Level Data'!$B64)&gt;0,"Chronic Flag","")</f>
        <v/>
      </c>
      <c r="T64" s="131" t="str">
        <f>IF(SUMIFS($R:$R,$G:$G,"Yes",$B:$B,'Client Level Data'!$B64)&gt;0,"PY Flag","")</f>
        <v/>
      </c>
      <c r="U64" s="131" t="str">
        <f>IF(SUMIFS($R:$R,$D:$D,"&lt;18",$G:$G,"Yes",$B:$B,'Client Level Data'!$B64)&gt;0,"PY &lt;18",IF(SUMIFS($R:$R,$D:$D,"&gt;17",$D:$D,"&lt;25",$G:$G,"Yes",$B:$B,'Client Level Data'!$B64)&gt;0,"PY &gt;17 &lt;25",""))</f>
        <v/>
      </c>
      <c r="V64" s="131">
        <f>IF('Client Level Data'!$K64="Yes",1,0)+IF('Client Level Data'!$L64="Yes",1,0)+IF('Client Level Data'!$M64="Yes",1,0)</f>
        <v>0</v>
      </c>
      <c r="W64" s="132" t="str">
        <f>IF(SUMIFS($R:$R,$F:$F,"Yes",$B:$B,'Client Level Data'!$B64)&gt;0,"Vet Flag","")</f>
        <v/>
      </c>
      <c r="X64" s="133">
        <f t="shared" si="11"/>
        <v>0</v>
      </c>
      <c r="Y64" s="133" t="e">
        <f t="shared" si="12"/>
        <v>#N/A</v>
      </c>
      <c r="Z64" s="133" t="e">
        <f t="shared" si="13"/>
        <v>#N/A</v>
      </c>
      <c r="AA64" s="133">
        <f t="shared" si="14"/>
        <v>0</v>
      </c>
      <c r="AB64" s="133" t="str">
        <f>IF(SUMIFS($R:$R,$H:$H,"Yes",$B:$B,'Client Level Data'!$B64)&gt;0,"CPY Flag","")</f>
        <v/>
      </c>
      <c r="AC64" s="133" t="str">
        <f t="shared" si="15"/>
        <v>N/A</v>
      </c>
      <c r="AD64" s="133">
        <f t="shared" si="16"/>
        <v>200</v>
      </c>
      <c r="AE64" s="133" t="str">
        <f t="shared" si="17"/>
        <v>Child</v>
      </c>
      <c r="AF64" s="133">
        <f t="shared" si="18"/>
        <v>200</v>
      </c>
      <c r="AG64" s="133" t="str">
        <f t="shared" si="19"/>
        <v>True</v>
      </c>
      <c r="AH64" s="133">
        <f t="shared" si="20"/>
        <v>200</v>
      </c>
      <c r="AI64" s="133" t="str">
        <f t="shared" si="21"/>
        <v>False</v>
      </c>
    </row>
    <row r="65" spans="1:35" ht="15.75" customHeight="1" x14ac:dyDescent="0.25">
      <c r="A65" s="8">
        <v>158</v>
      </c>
      <c r="B65" s="9"/>
      <c r="C65" s="9"/>
      <c r="D65" s="10"/>
      <c r="E65" s="156"/>
      <c r="F65" s="9"/>
      <c r="G65" s="9"/>
      <c r="H65" s="9"/>
      <c r="I65" s="9"/>
      <c r="J65" s="9"/>
      <c r="K65" s="148"/>
      <c r="L65" s="148"/>
      <c r="M65" s="148"/>
      <c r="N65" s="148"/>
      <c r="O65" s="120"/>
      <c r="P65" s="117"/>
      <c r="Q65" s="109">
        <f>IF(COUNTIF($B$8:$B65,$B65)=1,1,0)</f>
        <v>0</v>
      </c>
      <c r="R65" s="22">
        <f>IFERROR((COUNTIF($A:$A,'Client Level Data'!$A65))/COUNTIF($B:$B,$B65),0)</f>
        <v>0</v>
      </c>
      <c r="S65" s="22" t="str">
        <f>IF(SUMIFS($R:$R,$J:$J,"Yes",$B:$B,'Client Level Data'!$B65)&gt;0,"Chronic Flag","")</f>
        <v/>
      </c>
      <c r="T65" s="22" t="str">
        <f>IF(SUMIFS($R:$R,$G:$G,"Yes",$B:$B,'Client Level Data'!$B65)&gt;0,"PY Flag","")</f>
        <v/>
      </c>
      <c r="U65" s="22" t="str">
        <f>IF(SUMIFS($R:$R,$D:$D,"&lt;18",$G:$G,"Yes",$B:$B,'Client Level Data'!$B65)&gt;0,"PY &lt;18",IF(SUMIFS($R:$R,$D:$D,"&gt;17",$D:$D,"&lt;25",$G:$G,"Yes",$B:$B,'Client Level Data'!$B65)&gt;0,"PY &gt;17 &lt;25",""))</f>
        <v/>
      </c>
      <c r="V65" s="22">
        <f>IF('Client Level Data'!$K65="Yes",1,0)+IF('Client Level Data'!$L65="Yes",1,0)+IF('Client Level Data'!$M65="Yes",1,0)</f>
        <v>0</v>
      </c>
      <c r="W65" s="21" t="str">
        <f>IF(SUMIFS($R:$R,$F:$F,"Yes",$B:$B,'Client Level Data'!$B65)&gt;0,"Vet Flag","")</f>
        <v/>
      </c>
      <c r="X65" s="12">
        <f t="shared" si="11"/>
        <v>0</v>
      </c>
      <c r="Y65" s="12" t="e">
        <f t="shared" si="12"/>
        <v>#N/A</v>
      </c>
      <c r="Z65" s="12" t="e">
        <f t="shared" si="13"/>
        <v>#N/A</v>
      </c>
      <c r="AA65" s="12">
        <f t="shared" si="14"/>
        <v>0</v>
      </c>
      <c r="AB65" s="12" t="str">
        <f>IF(SUMIFS($R:$R,$H:$H,"Yes",$B:$B,'Client Level Data'!$B65)&gt;0,"CPY Flag","")</f>
        <v/>
      </c>
      <c r="AC65" s="12" t="str">
        <f t="shared" si="15"/>
        <v>N/A</v>
      </c>
      <c r="AD65" s="12">
        <f t="shared" si="16"/>
        <v>200</v>
      </c>
      <c r="AE65" s="12" t="str">
        <f t="shared" si="17"/>
        <v>Child</v>
      </c>
      <c r="AF65" s="12">
        <f t="shared" si="18"/>
        <v>200</v>
      </c>
      <c r="AG65" s="12" t="str">
        <f t="shared" si="19"/>
        <v>True</v>
      </c>
      <c r="AH65" s="12">
        <f t="shared" si="20"/>
        <v>200</v>
      </c>
      <c r="AI65" s="12" t="str">
        <f t="shared" si="21"/>
        <v>False</v>
      </c>
    </row>
    <row r="66" spans="1:35" s="133" customFormat="1" ht="15.75" customHeight="1" x14ac:dyDescent="0.25">
      <c r="A66" s="125">
        <v>159</v>
      </c>
      <c r="B66" s="126"/>
      <c r="C66" s="126"/>
      <c r="D66" s="127"/>
      <c r="E66" s="157"/>
      <c r="F66" s="126"/>
      <c r="G66" s="126"/>
      <c r="H66" s="126"/>
      <c r="I66" s="126"/>
      <c r="J66" s="126"/>
      <c r="K66" s="126"/>
      <c r="L66" s="126"/>
      <c r="M66" s="126"/>
      <c r="N66" s="126"/>
      <c r="O66" s="142"/>
      <c r="P66" s="142"/>
      <c r="Q66" s="130">
        <f>IF(COUNTIF($B$8:$B66,$B66)=1,1,0)</f>
        <v>0</v>
      </c>
      <c r="R66" s="131">
        <f>IFERROR((COUNTIF($A:$A,'Client Level Data'!$A66))/COUNTIF($B:$B,$B66),0)</f>
        <v>0</v>
      </c>
      <c r="S66" s="131" t="str">
        <f>IF(SUMIFS($R:$R,$J:$J,"Yes",$B:$B,'Client Level Data'!$B66)&gt;0,"Chronic Flag","")</f>
        <v/>
      </c>
      <c r="T66" s="131" t="str">
        <f>IF(SUMIFS($R:$R,$G:$G,"Yes",$B:$B,'Client Level Data'!$B66)&gt;0,"PY Flag","")</f>
        <v/>
      </c>
      <c r="U66" s="131" t="str">
        <f>IF(SUMIFS($R:$R,$D:$D,"&lt;18",$G:$G,"Yes",$B:$B,'Client Level Data'!$B66)&gt;0,"PY &lt;18",IF(SUMIFS($R:$R,$D:$D,"&gt;17",$D:$D,"&lt;25",$G:$G,"Yes",$B:$B,'Client Level Data'!$B66)&gt;0,"PY &gt;17 &lt;25",""))</f>
        <v/>
      </c>
      <c r="V66" s="131">
        <f>IF('Client Level Data'!$K66="Yes",1,0)+IF('Client Level Data'!$L66="Yes",1,0)+IF('Client Level Data'!$M66="Yes",1,0)</f>
        <v>0</v>
      </c>
      <c r="W66" s="132" t="str">
        <f>IF(SUMIFS($R:$R,$F:$F,"Yes",$B:$B,'Client Level Data'!$B66)&gt;0,"Vet Flag","")</f>
        <v/>
      </c>
      <c r="X66" s="133">
        <f t="shared" si="11"/>
        <v>0</v>
      </c>
      <c r="Y66" s="133" t="e">
        <f t="shared" si="12"/>
        <v>#N/A</v>
      </c>
      <c r="Z66" s="133" t="e">
        <f t="shared" si="13"/>
        <v>#N/A</v>
      </c>
      <c r="AA66" s="133">
        <f t="shared" si="14"/>
        <v>0</v>
      </c>
      <c r="AB66" s="133" t="str">
        <f>IF(SUMIFS($R:$R,$H:$H,"Yes",$B:$B,'Client Level Data'!$B66)&gt;0,"CPY Flag","")</f>
        <v/>
      </c>
      <c r="AC66" s="133" t="str">
        <f t="shared" si="15"/>
        <v>N/A</v>
      </c>
      <c r="AD66" s="133">
        <f t="shared" si="16"/>
        <v>200</v>
      </c>
      <c r="AE66" s="133" t="str">
        <f t="shared" si="17"/>
        <v>Child</v>
      </c>
      <c r="AF66" s="133">
        <f t="shared" si="18"/>
        <v>200</v>
      </c>
      <c r="AG66" s="133" t="str">
        <f t="shared" si="19"/>
        <v>True</v>
      </c>
      <c r="AH66" s="133">
        <f t="shared" si="20"/>
        <v>200</v>
      </c>
      <c r="AI66" s="133" t="str">
        <f t="shared" si="21"/>
        <v>False</v>
      </c>
    </row>
    <row r="67" spans="1:35" ht="15.75" customHeight="1" x14ac:dyDescent="0.25">
      <c r="A67" s="8">
        <v>160</v>
      </c>
      <c r="B67" s="9"/>
      <c r="C67" s="9"/>
      <c r="D67" s="10"/>
      <c r="E67" s="156"/>
      <c r="F67" s="9"/>
      <c r="G67" s="9"/>
      <c r="H67" s="9"/>
      <c r="I67" s="9"/>
      <c r="J67" s="9"/>
      <c r="K67" s="148"/>
      <c r="L67" s="148"/>
      <c r="M67" s="148"/>
      <c r="N67" s="148"/>
      <c r="O67" s="11"/>
      <c r="P67" s="11"/>
      <c r="Q67" s="21">
        <f>IF(COUNTIF($B$8:$B67,$B67)=1,1,0)</f>
        <v>0</v>
      </c>
      <c r="R67" s="22">
        <f>IFERROR((COUNTIF($A:$A,'Client Level Data'!$A67))/COUNTIF($B:$B,$B67),0)</f>
        <v>0</v>
      </c>
      <c r="S67" s="22" t="str">
        <f>IF(SUMIFS($R:$R,$J:$J,"Yes",$B:$B,'Client Level Data'!$B67)&gt;0,"Chronic Flag","")</f>
        <v/>
      </c>
      <c r="T67" s="22" t="str">
        <f>IF(SUMIFS($R:$R,$G:$G,"Yes",$B:$B,'Client Level Data'!$B67)&gt;0,"PY Flag","")</f>
        <v/>
      </c>
      <c r="U67" s="22" t="str">
        <f>IF(SUMIFS($R:$R,$D:$D,"&lt;18",$G:$G,"Yes",$B:$B,'Client Level Data'!$B67)&gt;0,"PY &lt;18",IF(SUMIFS($R:$R,$D:$D,"&gt;17",$D:$D,"&lt;25",$G:$G,"Yes",$B:$B,'Client Level Data'!$B67)&gt;0,"PY &gt;17 &lt;25",""))</f>
        <v/>
      </c>
      <c r="V67" s="22">
        <f>IF('Client Level Data'!$K67="Yes",1,0)+IF('Client Level Data'!$L67="Yes",1,0)+IF('Client Level Data'!$M67="Yes",1,0)</f>
        <v>0</v>
      </c>
      <c r="W67" s="21" t="str">
        <f>IF(SUMIFS($R:$R,$F:$F,"Yes",$B:$B,'Client Level Data'!$B67)&gt;0,"Vet Flag","")</f>
        <v/>
      </c>
      <c r="X67" s="12">
        <f t="shared" si="11"/>
        <v>0</v>
      </c>
      <c r="Y67" s="12" t="e">
        <f t="shared" si="12"/>
        <v>#N/A</v>
      </c>
      <c r="Z67" s="12" t="e">
        <f t="shared" si="13"/>
        <v>#N/A</v>
      </c>
      <c r="AA67" s="12">
        <f t="shared" si="14"/>
        <v>0</v>
      </c>
      <c r="AB67" s="12" t="str">
        <f>IF(SUMIFS($R:$R,$H:$H,"Yes",$B:$B,'Client Level Data'!$B67)&gt;0,"CPY Flag","")</f>
        <v/>
      </c>
      <c r="AC67" s="12" t="str">
        <f t="shared" si="15"/>
        <v>N/A</v>
      </c>
      <c r="AD67" s="12">
        <f t="shared" si="16"/>
        <v>200</v>
      </c>
      <c r="AE67" s="12" t="str">
        <f t="shared" si="17"/>
        <v>Child</v>
      </c>
      <c r="AF67" s="12">
        <f t="shared" si="18"/>
        <v>200</v>
      </c>
      <c r="AG67" s="12" t="str">
        <f t="shared" si="19"/>
        <v>True</v>
      </c>
      <c r="AH67" s="12">
        <f t="shared" si="20"/>
        <v>200</v>
      </c>
      <c r="AI67" s="12" t="str">
        <f t="shared" si="21"/>
        <v>False</v>
      </c>
    </row>
    <row r="68" spans="1:35" s="133" customFormat="1" ht="15.75" customHeight="1" x14ac:dyDescent="0.25">
      <c r="A68" s="125">
        <v>161</v>
      </c>
      <c r="B68" s="126"/>
      <c r="C68" s="126"/>
      <c r="D68" s="127"/>
      <c r="E68" s="157"/>
      <c r="F68" s="126"/>
      <c r="G68" s="126"/>
      <c r="H68" s="126"/>
      <c r="I68" s="126"/>
      <c r="J68" s="126"/>
      <c r="K68" s="126"/>
      <c r="L68" s="126"/>
      <c r="M68" s="126"/>
      <c r="N68" s="126"/>
      <c r="O68" s="137"/>
      <c r="P68" s="137"/>
      <c r="Q68" s="132">
        <f>IF(COUNTIF($B$8:$B68,$B68)=1,1,0)</f>
        <v>0</v>
      </c>
      <c r="R68" s="131">
        <f>IFERROR((COUNTIF($A:$A,'Client Level Data'!$A68))/COUNTIF($B:$B,$B68),0)</f>
        <v>0</v>
      </c>
      <c r="S68" s="131" t="str">
        <f>IF(SUMIFS($R:$R,$J:$J,"Yes",$B:$B,'Client Level Data'!$B68)&gt;0,"Chronic Flag","")</f>
        <v/>
      </c>
      <c r="T68" s="131" t="str">
        <f>IF(SUMIFS($R:$R,$G:$G,"Yes",$B:$B,'Client Level Data'!$B68)&gt;0,"PY Flag","")</f>
        <v/>
      </c>
      <c r="U68" s="131" t="str">
        <f>IF(SUMIFS($R:$R,$D:$D,"&lt;18",$G:$G,"Yes",$B:$B,'Client Level Data'!$B68)&gt;0,"PY &lt;18",IF(SUMIFS($R:$R,$D:$D,"&gt;17",$D:$D,"&lt;25",$G:$G,"Yes",$B:$B,'Client Level Data'!$B68)&gt;0,"PY &gt;17 &lt;25",""))</f>
        <v/>
      </c>
      <c r="V68" s="131">
        <f>IF('Client Level Data'!$K68="Yes",1,0)+IF('Client Level Data'!$L68="Yes",1,0)+IF('Client Level Data'!$M68="Yes",1,0)</f>
        <v>0</v>
      </c>
      <c r="W68" s="132" t="str">
        <f>IF(SUMIFS($R:$R,$F:$F,"Yes",$B:$B,'Client Level Data'!$B68)&gt;0,"Vet Flag","")</f>
        <v/>
      </c>
      <c r="X68" s="133">
        <f t="shared" si="11"/>
        <v>0</v>
      </c>
      <c r="Y68" s="133" t="e">
        <f t="shared" si="12"/>
        <v>#N/A</v>
      </c>
      <c r="Z68" s="133" t="e">
        <f t="shared" si="13"/>
        <v>#N/A</v>
      </c>
      <c r="AA68" s="133">
        <f t="shared" si="14"/>
        <v>0</v>
      </c>
      <c r="AB68" s="133" t="str">
        <f>IF(SUMIFS($R:$R,$H:$H,"Yes",$B:$B,'Client Level Data'!$B68)&gt;0,"CPY Flag","")</f>
        <v/>
      </c>
      <c r="AC68" s="133" t="str">
        <f t="shared" si="15"/>
        <v>N/A</v>
      </c>
      <c r="AD68" s="133">
        <f t="shared" si="16"/>
        <v>200</v>
      </c>
      <c r="AE68" s="133" t="str">
        <f t="shared" si="17"/>
        <v>Child</v>
      </c>
      <c r="AF68" s="133">
        <f t="shared" si="18"/>
        <v>200</v>
      </c>
      <c r="AG68" s="133" t="str">
        <f t="shared" si="19"/>
        <v>True</v>
      </c>
      <c r="AH68" s="133">
        <f t="shared" si="20"/>
        <v>200</v>
      </c>
      <c r="AI68" s="133" t="str">
        <f t="shared" si="21"/>
        <v>False</v>
      </c>
    </row>
    <row r="69" spans="1:35" ht="15.75" customHeight="1" x14ac:dyDescent="0.25">
      <c r="A69" s="8">
        <v>162</v>
      </c>
      <c r="B69" s="9"/>
      <c r="C69" s="9"/>
      <c r="D69" s="10"/>
      <c r="E69" s="156"/>
      <c r="F69" s="9"/>
      <c r="G69" s="9"/>
      <c r="H69" s="9"/>
      <c r="I69" s="9"/>
      <c r="J69" s="9"/>
      <c r="K69" s="148"/>
      <c r="L69" s="148"/>
      <c r="M69" s="148"/>
      <c r="N69" s="148"/>
      <c r="O69" s="116"/>
      <c r="P69" s="116"/>
      <c r="Q69" s="21">
        <f>IF(COUNTIF($B$8:$B69,$B69)=1,1,0)</f>
        <v>0</v>
      </c>
      <c r="R69" s="22">
        <f>IFERROR((COUNTIF($A:$A,'Client Level Data'!$A69))/COUNTIF($B:$B,$B69),0)</f>
        <v>0</v>
      </c>
      <c r="S69" s="22" t="str">
        <f>IF(SUMIFS($R:$R,$J:$J,"Yes",$B:$B,'Client Level Data'!$B69)&gt;0,"Chronic Flag","")</f>
        <v/>
      </c>
      <c r="T69" s="22" t="str">
        <f>IF(SUMIFS($R:$R,$G:$G,"Yes",$B:$B,'Client Level Data'!$B69)&gt;0,"PY Flag","")</f>
        <v/>
      </c>
      <c r="U69" s="22" t="str">
        <f>IF(SUMIFS($R:$R,$D:$D,"&lt;18",$G:$G,"Yes",$B:$B,'Client Level Data'!$B69)&gt;0,"PY &lt;18",IF(SUMIFS($R:$R,$D:$D,"&gt;17",$D:$D,"&lt;25",$G:$G,"Yes",$B:$B,'Client Level Data'!$B69)&gt;0,"PY &gt;17 &lt;25",""))</f>
        <v/>
      </c>
      <c r="V69" s="22">
        <f>IF('Client Level Data'!$K69="Yes",1,0)+IF('Client Level Data'!$L69="Yes",1,0)+IF('Client Level Data'!$M69="Yes",1,0)</f>
        <v>0</v>
      </c>
      <c r="W69" s="21" t="str">
        <f>IF(SUMIFS($R:$R,$F:$F,"Yes",$B:$B,'Client Level Data'!$B69)&gt;0,"Vet Flag","")</f>
        <v/>
      </c>
      <c r="X69" s="12">
        <f t="shared" si="11"/>
        <v>0</v>
      </c>
      <c r="Y69" s="12" t="e">
        <f t="shared" si="12"/>
        <v>#N/A</v>
      </c>
      <c r="Z69" s="12" t="e">
        <f t="shared" si="13"/>
        <v>#N/A</v>
      </c>
      <c r="AA69" s="12">
        <f t="shared" si="14"/>
        <v>0</v>
      </c>
      <c r="AB69" s="12" t="str">
        <f>IF(SUMIFS($R:$R,$H:$H,"Yes",$B:$B,'Client Level Data'!$B69)&gt;0,"CPY Flag","")</f>
        <v/>
      </c>
      <c r="AC69" s="12" t="str">
        <f t="shared" si="15"/>
        <v>N/A</v>
      </c>
      <c r="AD69" s="12">
        <f t="shared" si="16"/>
        <v>200</v>
      </c>
      <c r="AE69" s="12" t="str">
        <f t="shared" si="17"/>
        <v>Child</v>
      </c>
      <c r="AF69" s="12">
        <f t="shared" si="18"/>
        <v>200</v>
      </c>
      <c r="AG69" s="12" t="str">
        <f t="shared" si="19"/>
        <v>True</v>
      </c>
      <c r="AH69" s="12">
        <f t="shared" si="20"/>
        <v>200</v>
      </c>
      <c r="AI69" s="12" t="str">
        <f t="shared" si="21"/>
        <v>False</v>
      </c>
    </row>
    <row r="70" spans="1:35" s="133" customFormat="1" ht="15.75" customHeight="1" x14ac:dyDescent="0.25">
      <c r="A70" s="125">
        <v>163</v>
      </c>
      <c r="B70" s="126"/>
      <c r="C70" s="126"/>
      <c r="D70" s="127"/>
      <c r="E70" s="157"/>
      <c r="F70" s="126"/>
      <c r="G70" s="126"/>
      <c r="H70" s="126"/>
      <c r="I70" s="126"/>
      <c r="J70" s="126"/>
      <c r="K70" s="126"/>
      <c r="L70" s="126"/>
      <c r="M70" s="126"/>
      <c r="N70" s="126"/>
      <c r="O70" s="135"/>
      <c r="P70" s="137"/>
      <c r="Q70" s="132">
        <f>IF(COUNTIF($B$8:$B70,$B70)=1,1,0)</f>
        <v>0</v>
      </c>
      <c r="R70" s="131">
        <f>IFERROR((COUNTIF($A:$A,'Client Level Data'!$A70))/COUNTIF($B:$B,$B70),0)</f>
        <v>0</v>
      </c>
      <c r="S70" s="131" t="str">
        <f>IF(SUMIFS($R:$R,$J:$J,"Yes",$B:$B,'Client Level Data'!$B70)&gt;0,"Chronic Flag","")</f>
        <v/>
      </c>
      <c r="T70" s="131" t="str">
        <f>IF(SUMIFS($R:$R,$G:$G,"Yes",$B:$B,'Client Level Data'!$B70)&gt;0,"PY Flag","")</f>
        <v/>
      </c>
      <c r="U70" s="131" t="str">
        <f>IF(SUMIFS($R:$R,$D:$D,"&lt;18",$G:$G,"Yes",$B:$B,'Client Level Data'!$B70)&gt;0,"PY &lt;18",IF(SUMIFS($R:$R,$D:$D,"&gt;17",$D:$D,"&lt;25",$G:$G,"Yes",$B:$B,'Client Level Data'!$B70)&gt;0,"PY &gt;17 &lt;25",""))</f>
        <v/>
      </c>
      <c r="V70" s="131">
        <f>IF('Client Level Data'!$K70="Yes",1,0)+IF('Client Level Data'!$L70="Yes",1,0)+IF('Client Level Data'!$M70="Yes",1,0)</f>
        <v>0</v>
      </c>
      <c r="W70" s="132" t="str">
        <f>IF(SUMIFS($R:$R,$F:$F,"Yes",$B:$B,'Client Level Data'!$B70)&gt;0,"Vet Flag","")</f>
        <v/>
      </c>
      <c r="X70" s="133">
        <f t="shared" si="11"/>
        <v>0</v>
      </c>
      <c r="Y70" s="133" t="e">
        <f t="shared" si="12"/>
        <v>#N/A</v>
      </c>
      <c r="Z70" s="133" t="e">
        <f t="shared" si="13"/>
        <v>#N/A</v>
      </c>
      <c r="AA70" s="133">
        <f t="shared" si="14"/>
        <v>0</v>
      </c>
      <c r="AB70" s="133" t="str">
        <f>IF(SUMIFS($R:$R,$H:$H,"Yes",$B:$B,'Client Level Data'!$B70)&gt;0,"CPY Flag","")</f>
        <v/>
      </c>
      <c r="AC70" s="133" t="str">
        <f t="shared" si="15"/>
        <v>N/A</v>
      </c>
      <c r="AD70" s="133">
        <f t="shared" si="16"/>
        <v>200</v>
      </c>
      <c r="AE70" s="133" t="str">
        <f t="shared" si="17"/>
        <v>Child</v>
      </c>
      <c r="AF70" s="133">
        <f t="shared" si="18"/>
        <v>200</v>
      </c>
      <c r="AG70" s="133" t="str">
        <f t="shared" si="19"/>
        <v>True</v>
      </c>
      <c r="AH70" s="133">
        <f t="shared" si="20"/>
        <v>200</v>
      </c>
      <c r="AI70" s="133" t="str">
        <f t="shared" si="21"/>
        <v>False</v>
      </c>
    </row>
    <row r="71" spans="1:35" ht="15.75" customHeight="1" x14ac:dyDescent="0.25">
      <c r="A71" s="8">
        <v>164</v>
      </c>
      <c r="B71" s="9"/>
      <c r="C71" s="9"/>
      <c r="D71" s="10"/>
      <c r="E71" s="156"/>
      <c r="F71" s="9"/>
      <c r="G71" s="9"/>
      <c r="H71" s="9"/>
      <c r="I71" s="9"/>
      <c r="J71" s="9"/>
      <c r="K71" s="148"/>
      <c r="L71" s="148"/>
      <c r="M71" s="148"/>
      <c r="N71" s="148"/>
      <c r="O71" s="11"/>
      <c r="P71" s="122"/>
      <c r="Q71" s="21">
        <f>IF(COUNTIF($B$8:$B71,$B71)=1,1,0)</f>
        <v>0</v>
      </c>
      <c r="R71" s="22">
        <f>IFERROR((COUNTIF($A:$A,'Client Level Data'!$A71))/COUNTIF($B:$B,$B71),0)</f>
        <v>0</v>
      </c>
      <c r="S71" s="22" t="str">
        <f>IF(SUMIFS($R:$R,$J:$J,"Yes",$B:$B,'Client Level Data'!$B71)&gt;0,"Chronic Flag","")</f>
        <v/>
      </c>
      <c r="T71" s="22" t="str">
        <f>IF(SUMIFS($R:$R,$G:$G,"Yes",$B:$B,'Client Level Data'!$B71)&gt;0,"PY Flag","")</f>
        <v/>
      </c>
      <c r="U71" s="22" t="str">
        <f>IF(SUMIFS($R:$R,$D:$D,"&lt;18",$G:$G,"Yes",$B:$B,'Client Level Data'!$B71)&gt;0,"PY &lt;18",IF(SUMIFS($R:$R,$D:$D,"&gt;17",$D:$D,"&lt;25",$G:$G,"Yes",$B:$B,'Client Level Data'!$B71)&gt;0,"PY &gt;17 &lt;25",""))</f>
        <v/>
      </c>
      <c r="V71" s="22">
        <f>IF('Client Level Data'!$K71="Yes",1,0)+IF('Client Level Data'!$L71="Yes",1,0)+IF('Client Level Data'!$M71="Yes",1,0)</f>
        <v>0</v>
      </c>
      <c r="W71" s="21" t="str">
        <f>IF(SUMIFS($R:$R,$F:$F,"Yes",$B:$B,'Client Level Data'!$B71)&gt;0,"Vet Flag","")</f>
        <v/>
      </c>
      <c r="X71" s="12">
        <f t="shared" si="11"/>
        <v>0</v>
      </c>
      <c r="Y71" s="12" t="e">
        <f t="shared" si="12"/>
        <v>#N/A</v>
      </c>
      <c r="Z71" s="12" t="e">
        <f t="shared" si="13"/>
        <v>#N/A</v>
      </c>
      <c r="AA71" s="12">
        <f t="shared" si="14"/>
        <v>0</v>
      </c>
      <c r="AB71" s="12" t="str">
        <f>IF(SUMIFS($R:$R,$H:$H,"Yes",$B:$B,'Client Level Data'!$B71)&gt;0,"CPY Flag","")</f>
        <v/>
      </c>
      <c r="AC71" s="12" t="str">
        <f t="shared" si="15"/>
        <v>N/A</v>
      </c>
      <c r="AD71" s="12">
        <f t="shared" si="16"/>
        <v>200</v>
      </c>
      <c r="AE71" s="12" t="str">
        <f t="shared" si="17"/>
        <v>Child</v>
      </c>
      <c r="AF71" s="12">
        <f t="shared" si="18"/>
        <v>200</v>
      </c>
      <c r="AG71" s="12" t="str">
        <f t="shared" si="19"/>
        <v>True</v>
      </c>
      <c r="AH71" s="12">
        <f t="shared" si="20"/>
        <v>200</v>
      </c>
      <c r="AI71" s="12" t="str">
        <f t="shared" si="21"/>
        <v>False</v>
      </c>
    </row>
    <row r="72" spans="1:35" s="133" customFormat="1" ht="15.75" customHeight="1" x14ac:dyDescent="0.25">
      <c r="A72" s="125">
        <v>165</v>
      </c>
      <c r="B72" s="126"/>
      <c r="C72" s="126"/>
      <c r="D72" s="127"/>
      <c r="E72" s="157"/>
      <c r="F72" s="126"/>
      <c r="G72" s="126"/>
      <c r="H72" s="126"/>
      <c r="I72" s="126"/>
      <c r="J72" s="126"/>
      <c r="K72" s="126"/>
      <c r="L72" s="126"/>
      <c r="M72" s="126"/>
      <c r="N72" s="126"/>
      <c r="O72" s="134"/>
      <c r="P72" s="144"/>
      <c r="Q72" s="132">
        <f>IF(COUNTIF($B$8:$B72,$B72)=1,1,0)</f>
        <v>0</v>
      </c>
      <c r="R72" s="131">
        <f>IFERROR((COUNTIF($A:$A,'Client Level Data'!$A72))/COUNTIF($B:$B,$B72),0)</f>
        <v>0</v>
      </c>
      <c r="S72" s="131" t="str">
        <f>IF(SUMIFS($R:$R,$J:$J,"Yes",$B:$B,'Client Level Data'!$B72)&gt;0,"Chronic Flag","")</f>
        <v/>
      </c>
      <c r="T72" s="131" t="str">
        <f>IF(SUMIFS($R:$R,$G:$G,"Yes",$B:$B,'Client Level Data'!$B72)&gt;0,"PY Flag","")</f>
        <v/>
      </c>
      <c r="U72" s="131" t="str">
        <f>IF(SUMIFS($R:$R,$D:$D,"&lt;18",$G:$G,"Yes",$B:$B,'Client Level Data'!$B72)&gt;0,"PY &lt;18",IF(SUMIFS($R:$R,$D:$D,"&gt;17",$D:$D,"&lt;25",$G:$G,"Yes",$B:$B,'Client Level Data'!$B72)&gt;0,"PY &gt;17 &lt;25",""))</f>
        <v/>
      </c>
      <c r="V72" s="131">
        <f>IF('Client Level Data'!$K72="Yes",1,0)+IF('Client Level Data'!$L72="Yes",1,0)+IF('Client Level Data'!$M72="Yes",1,0)</f>
        <v>0</v>
      </c>
      <c r="W72" s="132" t="str">
        <f>IF(SUMIFS($R:$R,$F:$F,"Yes",$B:$B,'Client Level Data'!$B72)&gt;0,"Vet Flag","")</f>
        <v/>
      </c>
      <c r="X72" s="133">
        <f t="shared" ref="X72:X103" si="22">IF(R72&lt;1, B72, "Single")</f>
        <v>0</v>
      </c>
      <c r="Y72" s="133" t="e">
        <f t="shared" ref="Y72:Y103" si="23">IF(X72="Single", "Single", INDEX(C:C, MATCH(X72, B:B, 0)))</f>
        <v>#N/A</v>
      </c>
      <c r="Z72" s="133" t="e">
        <f t="shared" ref="Z72:Z103" si="24">IF(AND(NOT(ISBLANK(C72)), C72=Y72, R72&lt;1), "Yes", IF(Y72="Single", "N/A", "No"))</f>
        <v>#N/A</v>
      </c>
      <c r="AA72" s="133">
        <f t="shared" ref="AA72:AA103" si="25">COUNTIFS(X:X, X72, Z:Z, "No")</f>
        <v>0</v>
      </c>
      <c r="AB72" s="133" t="str">
        <f>IF(SUMIFS($R:$R,$H:$H,"Yes",$B:$B,'Client Level Data'!$B72)&gt;0,"CPY Flag","")</f>
        <v/>
      </c>
      <c r="AC72" s="133" t="str">
        <f t="shared" ref="AC72:AC103" si="26">IF(AND(T72="PY Flag",AB72="CPY Flag"),"Yes",IF(AND(T72="",AB72=""),"N/A","No"))</f>
        <v>N/A</v>
      </c>
      <c r="AD72" s="133">
        <f t="shared" ref="AD72:AD103" si="27">COUNTIFS(X:X, X72)</f>
        <v>200</v>
      </c>
      <c r="AE72" s="133" t="str">
        <f t="shared" ref="AE72:AE103" si="28">IF(D72&lt;18,"Child",IF(AND(D72&gt;=18,D72&lt;25),"Youth","Not Youth"))</f>
        <v>Child</v>
      </c>
      <c r="AF72" s="133">
        <f t="shared" ref="AF72:AF103" si="29">COUNTIFS(X:X, X72, AE:AE, "Youth")+COUNTIFS(X:X, X72, AE:AE, "Child")</f>
        <v>200</v>
      </c>
      <c r="AG72" s="133" t="str">
        <f t="shared" ref="AG72:AG103" si="30">IF(AF72=AD72, "True", "False")</f>
        <v>True</v>
      </c>
      <c r="AH72" s="133">
        <f t="shared" ref="AH72:AH103" si="31">COUNTIFS(X:X, X72, AE:AE, "Child")</f>
        <v>200</v>
      </c>
      <c r="AI72" s="133" t="str">
        <f t="shared" ref="AI72:AI103" si="32">IF(AND(C72="Adults &amp; Children", AH72&gt;0), "True", IF(OR(C72="Children Only", C72="Adults Only"), "N/A", "False"))</f>
        <v>False</v>
      </c>
    </row>
    <row r="73" spans="1:35" ht="15.75" customHeight="1" x14ac:dyDescent="0.25">
      <c r="A73" s="8">
        <v>166</v>
      </c>
      <c r="B73" s="9"/>
      <c r="C73" s="9"/>
      <c r="D73" s="10"/>
      <c r="E73" s="156"/>
      <c r="F73" s="9"/>
      <c r="G73" s="9"/>
      <c r="H73" s="9"/>
      <c r="I73" s="9"/>
      <c r="J73" s="9"/>
      <c r="K73" s="148"/>
      <c r="L73" s="148"/>
      <c r="M73" s="148"/>
      <c r="N73" s="148"/>
      <c r="O73" s="112"/>
      <c r="P73" s="113"/>
      <c r="Q73" s="21">
        <f>IF(COUNTIF($B$8:$B73,$B73)=1,1,0)</f>
        <v>0</v>
      </c>
      <c r="R73" s="22">
        <f>IFERROR((COUNTIF($A:$A,'Client Level Data'!$A73))/COUNTIF($B:$B,$B73),0)</f>
        <v>0</v>
      </c>
      <c r="S73" s="22" t="str">
        <f>IF(SUMIFS($R:$R,$J:$J,"Yes",$B:$B,'Client Level Data'!$B73)&gt;0,"Chronic Flag","")</f>
        <v/>
      </c>
      <c r="T73" s="22" t="str">
        <f>IF(SUMIFS($R:$R,$G:$G,"Yes",$B:$B,'Client Level Data'!$B73)&gt;0,"PY Flag","")</f>
        <v/>
      </c>
      <c r="U73" s="22" t="str">
        <f>IF(SUMIFS($R:$R,$D:$D,"&lt;18",$G:$G,"Yes",$B:$B,'Client Level Data'!$B73)&gt;0,"PY &lt;18",IF(SUMIFS($R:$R,$D:$D,"&gt;17",$D:$D,"&lt;25",$G:$G,"Yes",$B:$B,'Client Level Data'!$B73)&gt;0,"PY &gt;17 &lt;25",""))</f>
        <v/>
      </c>
      <c r="V73" s="22">
        <f>IF('Client Level Data'!$K73="Yes",1,0)+IF('Client Level Data'!$L73="Yes",1,0)+IF('Client Level Data'!$M73="Yes",1,0)</f>
        <v>0</v>
      </c>
      <c r="W73" s="21" t="str">
        <f>IF(SUMIFS($R:$R,$F:$F,"Yes",$B:$B,'Client Level Data'!$B73)&gt;0,"Vet Flag","")</f>
        <v/>
      </c>
      <c r="X73" s="12">
        <f t="shared" si="22"/>
        <v>0</v>
      </c>
      <c r="Y73" s="12" t="e">
        <f t="shared" si="23"/>
        <v>#N/A</v>
      </c>
      <c r="Z73" s="12" t="e">
        <f t="shared" si="24"/>
        <v>#N/A</v>
      </c>
      <c r="AA73" s="12">
        <f t="shared" si="25"/>
        <v>0</v>
      </c>
      <c r="AB73" s="12" t="str">
        <f>IF(SUMIFS($R:$R,$H:$H,"Yes",$B:$B,'Client Level Data'!$B73)&gt;0,"CPY Flag","")</f>
        <v/>
      </c>
      <c r="AC73" s="12" t="str">
        <f t="shared" si="26"/>
        <v>N/A</v>
      </c>
      <c r="AD73" s="12">
        <f t="shared" si="27"/>
        <v>200</v>
      </c>
      <c r="AE73" s="12" t="str">
        <f t="shared" si="28"/>
        <v>Child</v>
      </c>
      <c r="AF73" s="12">
        <f t="shared" si="29"/>
        <v>200</v>
      </c>
      <c r="AG73" s="12" t="str">
        <f t="shared" si="30"/>
        <v>True</v>
      </c>
      <c r="AH73" s="12">
        <f t="shared" si="31"/>
        <v>200</v>
      </c>
      <c r="AI73" s="12" t="str">
        <f t="shared" si="32"/>
        <v>False</v>
      </c>
    </row>
    <row r="74" spans="1:35" s="133" customFormat="1" ht="15.75" customHeight="1" x14ac:dyDescent="0.25">
      <c r="A74" s="125">
        <v>167</v>
      </c>
      <c r="B74" s="126"/>
      <c r="C74" s="126"/>
      <c r="D74" s="127"/>
      <c r="E74" s="157"/>
      <c r="F74" s="126"/>
      <c r="G74" s="126"/>
      <c r="H74" s="126"/>
      <c r="I74" s="126"/>
      <c r="J74" s="126"/>
      <c r="K74" s="126"/>
      <c r="L74" s="126"/>
      <c r="M74" s="126"/>
      <c r="N74" s="126"/>
      <c r="O74" s="145"/>
      <c r="P74" s="142"/>
      <c r="Q74" s="130">
        <f>IF(COUNTIF($B$8:$B74,$B74)=1,1,0)</f>
        <v>0</v>
      </c>
      <c r="R74" s="131">
        <f>IFERROR((COUNTIF($A:$A,'Client Level Data'!$A74))/COUNTIF($B:$B,$B74),0)</f>
        <v>0</v>
      </c>
      <c r="S74" s="131" t="str">
        <f>IF(SUMIFS($R:$R,$J:$J,"Yes",$B:$B,'Client Level Data'!$B74)&gt;0,"Chronic Flag","")</f>
        <v/>
      </c>
      <c r="T74" s="131" t="str">
        <f>IF(SUMIFS($R:$R,$G:$G,"Yes",$B:$B,'Client Level Data'!$B74)&gt;0,"PY Flag","")</f>
        <v/>
      </c>
      <c r="U74" s="131" t="str">
        <f>IF(SUMIFS($R:$R,$D:$D,"&lt;18",$G:$G,"Yes",$B:$B,'Client Level Data'!$B74)&gt;0,"PY &lt;18",IF(SUMIFS($R:$R,$D:$D,"&gt;17",$D:$D,"&lt;25",$G:$G,"Yes",$B:$B,'Client Level Data'!$B74)&gt;0,"PY &gt;17 &lt;25",""))</f>
        <v/>
      </c>
      <c r="V74" s="131">
        <f>IF('Client Level Data'!$K74="Yes",1,0)+IF('Client Level Data'!$L74="Yes",1,0)+IF('Client Level Data'!$M74="Yes",1,0)</f>
        <v>0</v>
      </c>
      <c r="W74" s="132" t="str">
        <f>IF(SUMIFS($R:$R,$F:$F,"Yes",$B:$B,'Client Level Data'!$B74)&gt;0,"Vet Flag","")</f>
        <v/>
      </c>
      <c r="X74" s="133">
        <f t="shared" si="22"/>
        <v>0</v>
      </c>
      <c r="Y74" s="133" t="e">
        <f t="shared" si="23"/>
        <v>#N/A</v>
      </c>
      <c r="Z74" s="133" t="e">
        <f t="shared" si="24"/>
        <v>#N/A</v>
      </c>
      <c r="AA74" s="133">
        <f t="shared" si="25"/>
        <v>0</v>
      </c>
      <c r="AB74" s="133" t="str">
        <f>IF(SUMIFS($R:$R,$H:$H,"Yes",$B:$B,'Client Level Data'!$B74)&gt;0,"CPY Flag","")</f>
        <v/>
      </c>
      <c r="AC74" s="133" t="str">
        <f t="shared" si="26"/>
        <v>N/A</v>
      </c>
      <c r="AD74" s="133">
        <f t="shared" si="27"/>
        <v>200</v>
      </c>
      <c r="AE74" s="133" t="str">
        <f t="shared" si="28"/>
        <v>Child</v>
      </c>
      <c r="AF74" s="133">
        <f t="shared" si="29"/>
        <v>200</v>
      </c>
      <c r="AG74" s="133" t="str">
        <f t="shared" si="30"/>
        <v>True</v>
      </c>
      <c r="AH74" s="133">
        <f t="shared" si="31"/>
        <v>200</v>
      </c>
      <c r="AI74" s="133" t="str">
        <f t="shared" si="32"/>
        <v>False</v>
      </c>
    </row>
    <row r="75" spans="1:35" ht="15.75" customHeight="1" x14ac:dyDescent="0.25">
      <c r="A75" s="8">
        <v>168</v>
      </c>
      <c r="B75" s="9"/>
      <c r="C75" s="9"/>
      <c r="D75" s="10"/>
      <c r="E75" s="156"/>
      <c r="F75" s="9"/>
      <c r="G75" s="9"/>
      <c r="H75" s="9"/>
      <c r="I75" s="9"/>
      <c r="J75" s="9"/>
      <c r="K75" s="148"/>
      <c r="L75" s="148"/>
      <c r="M75" s="148"/>
      <c r="N75" s="148"/>
      <c r="O75" s="122"/>
      <c r="P75" s="121"/>
      <c r="Q75" s="109">
        <f>IF(COUNTIF($B$8:$B75,$B75)=1,1,0)</f>
        <v>0</v>
      </c>
      <c r="R75" s="22">
        <f>IFERROR((COUNTIF($A:$A,'Client Level Data'!$A75))/COUNTIF($B:$B,$B75),0)</f>
        <v>0</v>
      </c>
      <c r="S75" s="22" t="str">
        <f>IF(SUMIFS($R:$R,$J:$J,"Yes",$B:$B,'Client Level Data'!$B75)&gt;0,"Chronic Flag","")</f>
        <v/>
      </c>
      <c r="T75" s="22" t="str">
        <f>IF(SUMIFS($R:$R,$G:$G,"Yes",$B:$B,'Client Level Data'!$B75)&gt;0,"PY Flag","")</f>
        <v/>
      </c>
      <c r="U75" s="22" t="str">
        <f>IF(SUMIFS($R:$R,$D:$D,"&lt;18",$G:$G,"Yes",$B:$B,'Client Level Data'!$B75)&gt;0,"PY &lt;18",IF(SUMIFS($R:$R,$D:$D,"&gt;17",$D:$D,"&lt;25",$G:$G,"Yes",$B:$B,'Client Level Data'!$B75)&gt;0,"PY &gt;17 &lt;25",""))</f>
        <v/>
      </c>
      <c r="V75" s="22">
        <f>IF('Client Level Data'!$K75="Yes",1,0)+IF('Client Level Data'!$L75="Yes",1,0)+IF('Client Level Data'!$M75="Yes",1,0)</f>
        <v>0</v>
      </c>
      <c r="W75" s="21" t="str">
        <f>IF(SUMIFS($R:$R,$F:$F,"Yes",$B:$B,'Client Level Data'!$B75)&gt;0,"Vet Flag","")</f>
        <v/>
      </c>
      <c r="X75" s="12">
        <f t="shared" si="22"/>
        <v>0</v>
      </c>
      <c r="Y75" s="12" t="e">
        <f t="shared" si="23"/>
        <v>#N/A</v>
      </c>
      <c r="Z75" s="12" t="e">
        <f t="shared" si="24"/>
        <v>#N/A</v>
      </c>
      <c r="AA75" s="12">
        <f t="shared" si="25"/>
        <v>0</v>
      </c>
      <c r="AB75" s="12" t="str">
        <f>IF(SUMIFS($R:$R,$H:$H,"Yes",$B:$B,'Client Level Data'!$B75)&gt;0,"CPY Flag","")</f>
        <v/>
      </c>
      <c r="AC75" s="12" t="str">
        <f t="shared" si="26"/>
        <v>N/A</v>
      </c>
      <c r="AD75" s="12">
        <f t="shared" si="27"/>
        <v>200</v>
      </c>
      <c r="AE75" s="12" t="str">
        <f t="shared" si="28"/>
        <v>Child</v>
      </c>
      <c r="AF75" s="12">
        <f t="shared" si="29"/>
        <v>200</v>
      </c>
      <c r="AG75" s="12" t="str">
        <f t="shared" si="30"/>
        <v>True</v>
      </c>
      <c r="AH75" s="12">
        <f t="shared" si="31"/>
        <v>200</v>
      </c>
      <c r="AI75" s="12" t="str">
        <f t="shared" si="32"/>
        <v>False</v>
      </c>
    </row>
    <row r="76" spans="1:35" s="133" customFormat="1" ht="15.75" customHeight="1" x14ac:dyDescent="0.25">
      <c r="A76" s="125">
        <v>169</v>
      </c>
      <c r="B76" s="126"/>
      <c r="C76" s="126"/>
      <c r="D76" s="127"/>
      <c r="E76" s="157"/>
      <c r="F76" s="126"/>
      <c r="G76" s="126"/>
      <c r="H76" s="126"/>
      <c r="I76" s="126"/>
      <c r="J76" s="126"/>
      <c r="K76" s="126"/>
      <c r="L76" s="126"/>
      <c r="M76" s="126"/>
      <c r="N76" s="126"/>
      <c r="O76" s="134"/>
      <c r="P76" s="135"/>
      <c r="Q76" s="132">
        <f>IF(COUNTIF($B$8:$B76,$B76)=1,1,0)</f>
        <v>0</v>
      </c>
      <c r="R76" s="131">
        <f>IFERROR((COUNTIF($A:$A,'Client Level Data'!$A76))/COUNTIF($B:$B,$B76),0)</f>
        <v>0</v>
      </c>
      <c r="S76" s="131" t="str">
        <f>IF(SUMIFS($R:$R,$J:$J,"Yes",$B:$B,'Client Level Data'!$B76)&gt;0,"Chronic Flag","")</f>
        <v/>
      </c>
      <c r="T76" s="131" t="str">
        <f>IF(SUMIFS($R:$R,$G:$G,"Yes",$B:$B,'Client Level Data'!$B76)&gt;0,"PY Flag","")</f>
        <v/>
      </c>
      <c r="U76" s="131" t="str">
        <f>IF(SUMIFS($R:$R,$D:$D,"&lt;18",$G:$G,"Yes",$B:$B,'Client Level Data'!$B76)&gt;0,"PY &lt;18",IF(SUMIFS($R:$R,$D:$D,"&gt;17",$D:$D,"&lt;25",$G:$G,"Yes",$B:$B,'Client Level Data'!$B76)&gt;0,"PY &gt;17 &lt;25",""))</f>
        <v/>
      </c>
      <c r="V76" s="131">
        <f>IF('Client Level Data'!$K76="Yes",1,0)+IF('Client Level Data'!$L76="Yes",1,0)+IF('Client Level Data'!$M76="Yes",1,0)</f>
        <v>0</v>
      </c>
      <c r="W76" s="132" t="str">
        <f>IF(SUMIFS($R:$R,$F:$F,"Yes",$B:$B,'Client Level Data'!$B76)&gt;0,"Vet Flag","")</f>
        <v/>
      </c>
      <c r="X76" s="133">
        <f t="shared" si="22"/>
        <v>0</v>
      </c>
      <c r="Y76" s="133" t="e">
        <f t="shared" si="23"/>
        <v>#N/A</v>
      </c>
      <c r="Z76" s="133" t="e">
        <f t="shared" si="24"/>
        <v>#N/A</v>
      </c>
      <c r="AA76" s="133">
        <f t="shared" si="25"/>
        <v>0</v>
      </c>
      <c r="AB76" s="133" t="str">
        <f>IF(SUMIFS($R:$R,$H:$H,"Yes",$B:$B,'Client Level Data'!$B76)&gt;0,"CPY Flag","")</f>
        <v/>
      </c>
      <c r="AC76" s="133" t="str">
        <f t="shared" si="26"/>
        <v>N/A</v>
      </c>
      <c r="AD76" s="133">
        <f t="shared" si="27"/>
        <v>200</v>
      </c>
      <c r="AE76" s="133" t="str">
        <f t="shared" si="28"/>
        <v>Child</v>
      </c>
      <c r="AF76" s="133">
        <f t="shared" si="29"/>
        <v>200</v>
      </c>
      <c r="AG76" s="133" t="str">
        <f t="shared" si="30"/>
        <v>True</v>
      </c>
      <c r="AH76" s="133">
        <f t="shared" si="31"/>
        <v>200</v>
      </c>
      <c r="AI76" s="133" t="str">
        <f t="shared" si="32"/>
        <v>False</v>
      </c>
    </row>
    <row r="77" spans="1:35" ht="15.75" customHeight="1" x14ac:dyDescent="0.25">
      <c r="A77" s="8">
        <v>170</v>
      </c>
      <c r="B77" s="9"/>
      <c r="C77" s="9"/>
      <c r="D77" s="10"/>
      <c r="E77" s="156"/>
      <c r="F77" s="9"/>
      <c r="G77" s="9"/>
      <c r="H77" s="9"/>
      <c r="I77" s="9"/>
      <c r="J77" s="9"/>
      <c r="K77" s="148"/>
      <c r="L77" s="148"/>
      <c r="M77" s="148"/>
      <c r="N77" s="148"/>
      <c r="O77" s="112"/>
      <c r="P77" s="113"/>
      <c r="Q77" s="21">
        <f>IF(COUNTIF($B$8:$B77,$B77)=1,1,0)</f>
        <v>0</v>
      </c>
      <c r="R77" s="22">
        <f>IFERROR((COUNTIF($A:$A,'Client Level Data'!$A77))/COUNTIF($B:$B,$B77),0)</f>
        <v>0</v>
      </c>
      <c r="S77" s="22" t="str">
        <f>IF(SUMIFS($R:$R,$J:$J,"Yes",$B:$B,'Client Level Data'!$B77)&gt;0,"Chronic Flag","")</f>
        <v/>
      </c>
      <c r="T77" s="22" t="str">
        <f>IF(SUMIFS($R:$R,$G:$G,"Yes",$B:$B,'Client Level Data'!$B77)&gt;0,"PY Flag","")</f>
        <v/>
      </c>
      <c r="U77" s="22" t="str">
        <f>IF(SUMIFS($R:$R,$D:$D,"&lt;18",$G:$G,"Yes",$B:$B,'Client Level Data'!$B77)&gt;0,"PY &lt;18",IF(SUMIFS($R:$R,$D:$D,"&gt;17",$D:$D,"&lt;25",$G:$G,"Yes",$B:$B,'Client Level Data'!$B77)&gt;0,"PY &gt;17 &lt;25",""))</f>
        <v/>
      </c>
      <c r="V77" s="22">
        <f>IF('Client Level Data'!$K77="Yes",1,0)+IF('Client Level Data'!$L77="Yes",1,0)+IF('Client Level Data'!$M77="Yes",1,0)</f>
        <v>0</v>
      </c>
      <c r="W77" s="21" t="str">
        <f>IF(SUMIFS($R:$R,$F:$F,"Yes",$B:$B,'Client Level Data'!$B77)&gt;0,"Vet Flag","")</f>
        <v/>
      </c>
      <c r="X77" s="12">
        <f t="shared" si="22"/>
        <v>0</v>
      </c>
      <c r="Y77" s="12" t="e">
        <f t="shared" si="23"/>
        <v>#N/A</v>
      </c>
      <c r="Z77" s="12" t="e">
        <f t="shared" si="24"/>
        <v>#N/A</v>
      </c>
      <c r="AA77" s="12">
        <f t="shared" si="25"/>
        <v>0</v>
      </c>
      <c r="AB77" s="12" t="str">
        <f>IF(SUMIFS($R:$R,$H:$H,"Yes",$B:$B,'Client Level Data'!$B77)&gt;0,"CPY Flag","")</f>
        <v/>
      </c>
      <c r="AC77" s="12" t="str">
        <f t="shared" si="26"/>
        <v>N/A</v>
      </c>
      <c r="AD77" s="12">
        <f t="shared" si="27"/>
        <v>200</v>
      </c>
      <c r="AE77" s="12" t="str">
        <f t="shared" si="28"/>
        <v>Child</v>
      </c>
      <c r="AF77" s="12">
        <f t="shared" si="29"/>
        <v>200</v>
      </c>
      <c r="AG77" s="12" t="str">
        <f t="shared" si="30"/>
        <v>True</v>
      </c>
      <c r="AH77" s="12">
        <f t="shared" si="31"/>
        <v>200</v>
      </c>
      <c r="AI77" s="12" t="str">
        <f t="shared" si="32"/>
        <v>False</v>
      </c>
    </row>
    <row r="78" spans="1:35" s="133" customFormat="1" ht="15.75" customHeight="1" x14ac:dyDescent="0.25">
      <c r="A78" s="125">
        <v>171</v>
      </c>
      <c r="B78" s="126"/>
      <c r="C78" s="126"/>
      <c r="D78" s="127"/>
      <c r="E78" s="157"/>
      <c r="F78" s="126"/>
      <c r="G78" s="126"/>
      <c r="H78" s="126"/>
      <c r="I78" s="126"/>
      <c r="J78" s="126"/>
      <c r="K78" s="126"/>
      <c r="L78" s="126"/>
      <c r="M78" s="126"/>
      <c r="N78" s="126"/>
      <c r="O78" s="134"/>
      <c r="P78" s="135"/>
      <c r="Q78" s="132">
        <f>IF(COUNTIF($B$8:$B78,$B78)=1,1,0)</f>
        <v>0</v>
      </c>
      <c r="R78" s="131">
        <f>IFERROR((COUNTIF($A:$A,'Client Level Data'!$A78))/COUNTIF($B:$B,$B78),0)</f>
        <v>0</v>
      </c>
      <c r="S78" s="131" t="str">
        <f>IF(SUMIFS($R:$R,$J:$J,"Yes",$B:$B,'Client Level Data'!$B78)&gt;0,"Chronic Flag","")</f>
        <v/>
      </c>
      <c r="T78" s="131" t="str">
        <f>IF(SUMIFS($R:$R,$G:$G,"Yes",$B:$B,'Client Level Data'!$B78)&gt;0,"PY Flag","")</f>
        <v/>
      </c>
      <c r="U78" s="131" t="str">
        <f>IF(SUMIFS($R:$R,$D:$D,"&lt;18",$G:$G,"Yes",$B:$B,'Client Level Data'!$B78)&gt;0,"PY &lt;18",IF(SUMIFS($R:$R,$D:$D,"&gt;17",$D:$D,"&lt;25",$G:$G,"Yes",$B:$B,'Client Level Data'!$B78)&gt;0,"PY &gt;17 &lt;25",""))</f>
        <v/>
      </c>
      <c r="V78" s="131">
        <f>IF('Client Level Data'!$K78="Yes",1,0)+IF('Client Level Data'!$L78="Yes",1,0)+IF('Client Level Data'!$M78="Yes",1,0)</f>
        <v>0</v>
      </c>
      <c r="W78" s="132" t="str">
        <f>IF(SUMIFS($R:$R,$F:$F,"Yes",$B:$B,'Client Level Data'!$B78)&gt;0,"Vet Flag","")</f>
        <v/>
      </c>
      <c r="X78" s="133">
        <f t="shared" si="22"/>
        <v>0</v>
      </c>
      <c r="Y78" s="133" t="e">
        <f t="shared" si="23"/>
        <v>#N/A</v>
      </c>
      <c r="Z78" s="133" t="e">
        <f t="shared" si="24"/>
        <v>#N/A</v>
      </c>
      <c r="AA78" s="133">
        <f t="shared" si="25"/>
        <v>0</v>
      </c>
      <c r="AB78" s="133" t="str">
        <f>IF(SUMIFS($R:$R,$H:$H,"Yes",$B:$B,'Client Level Data'!$B78)&gt;0,"CPY Flag","")</f>
        <v/>
      </c>
      <c r="AC78" s="133" t="str">
        <f t="shared" si="26"/>
        <v>N/A</v>
      </c>
      <c r="AD78" s="133">
        <f t="shared" si="27"/>
        <v>200</v>
      </c>
      <c r="AE78" s="133" t="str">
        <f t="shared" si="28"/>
        <v>Child</v>
      </c>
      <c r="AF78" s="133">
        <f t="shared" si="29"/>
        <v>200</v>
      </c>
      <c r="AG78" s="133" t="str">
        <f t="shared" si="30"/>
        <v>True</v>
      </c>
      <c r="AH78" s="133">
        <f t="shared" si="31"/>
        <v>200</v>
      </c>
      <c r="AI78" s="133" t="str">
        <f t="shared" si="32"/>
        <v>False</v>
      </c>
    </row>
    <row r="79" spans="1:35" ht="15.75" customHeight="1" x14ac:dyDescent="0.25">
      <c r="A79" s="8">
        <v>172</v>
      </c>
      <c r="B79" s="9"/>
      <c r="C79" s="9"/>
      <c r="D79" s="10"/>
      <c r="E79" s="156"/>
      <c r="F79" s="9"/>
      <c r="G79" s="9"/>
      <c r="H79" s="9"/>
      <c r="I79" s="9"/>
      <c r="J79" s="9"/>
      <c r="K79" s="148"/>
      <c r="L79" s="148"/>
      <c r="M79" s="148"/>
      <c r="N79" s="148"/>
      <c r="O79" s="11"/>
      <c r="P79" s="11"/>
      <c r="Q79" s="21">
        <f>IF(COUNTIF($B$8:$B79,$B79)=1,1,0)</f>
        <v>0</v>
      </c>
      <c r="R79" s="22">
        <f>IFERROR((COUNTIF($A:$A,'Client Level Data'!$A79))/COUNTIF($B:$B,$B79),0)</f>
        <v>0</v>
      </c>
      <c r="S79" s="22" t="str">
        <f>IF(SUMIFS($R:$R,$J:$J,"Yes",$B:$B,'Client Level Data'!$B79)&gt;0,"Chronic Flag","")</f>
        <v/>
      </c>
      <c r="T79" s="22" t="str">
        <f>IF(SUMIFS($R:$R,$G:$G,"Yes",$B:$B,'Client Level Data'!$B79)&gt;0,"PY Flag","")</f>
        <v/>
      </c>
      <c r="U79" s="22" t="str">
        <f>IF(SUMIFS($R:$R,$D:$D,"&lt;18",$G:$G,"Yes",$B:$B,'Client Level Data'!$B79)&gt;0,"PY &lt;18",IF(SUMIFS($R:$R,$D:$D,"&gt;17",$D:$D,"&lt;25",$G:$G,"Yes",$B:$B,'Client Level Data'!$B79)&gt;0,"PY &gt;17 &lt;25",""))</f>
        <v/>
      </c>
      <c r="V79" s="22">
        <f>IF('Client Level Data'!$K79="Yes",1,0)+IF('Client Level Data'!$L79="Yes",1,0)+IF('Client Level Data'!$M79="Yes",1,0)</f>
        <v>0</v>
      </c>
      <c r="W79" s="21" t="str">
        <f>IF(SUMIFS($R:$R,$F:$F,"Yes",$B:$B,'Client Level Data'!$B79)&gt;0,"Vet Flag","")</f>
        <v/>
      </c>
      <c r="X79" s="12">
        <f t="shared" si="22"/>
        <v>0</v>
      </c>
      <c r="Y79" s="12" t="e">
        <f t="shared" si="23"/>
        <v>#N/A</v>
      </c>
      <c r="Z79" s="12" t="e">
        <f t="shared" si="24"/>
        <v>#N/A</v>
      </c>
      <c r="AA79" s="12">
        <f t="shared" si="25"/>
        <v>0</v>
      </c>
      <c r="AB79" s="12" t="str">
        <f>IF(SUMIFS($R:$R,$H:$H,"Yes",$B:$B,'Client Level Data'!$B79)&gt;0,"CPY Flag","")</f>
        <v/>
      </c>
      <c r="AC79" s="12" t="str">
        <f t="shared" si="26"/>
        <v>N/A</v>
      </c>
      <c r="AD79" s="12">
        <f t="shared" si="27"/>
        <v>200</v>
      </c>
      <c r="AE79" s="12" t="str">
        <f t="shared" si="28"/>
        <v>Child</v>
      </c>
      <c r="AF79" s="12">
        <f t="shared" si="29"/>
        <v>200</v>
      </c>
      <c r="AG79" s="12" t="str">
        <f t="shared" si="30"/>
        <v>True</v>
      </c>
      <c r="AH79" s="12">
        <f t="shared" si="31"/>
        <v>200</v>
      </c>
      <c r="AI79" s="12" t="str">
        <f t="shared" si="32"/>
        <v>False</v>
      </c>
    </row>
    <row r="80" spans="1:35" s="133" customFormat="1" ht="15.75" customHeight="1" x14ac:dyDescent="0.25">
      <c r="A80" s="125">
        <v>173</v>
      </c>
      <c r="B80" s="126"/>
      <c r="C80" s="126"/>
      <c r="D80" s="127"/>
      <c r="E80" s="157"/>
      <c r="F80" s="126"/>
      <c r="G80" s="126"/>
      <c r="H80" s="126"/>
      <c r="I80" s="126"/>
      <c r="J80" s="126"/>
      <c r="K80" s="126"/>
      <c r="L80" s="126"/>
      <c r="M80" s="126"/>
      <c r="N80" s="126"/>
      <c r="O80" s="128"/>
      <c r="P80" s="129"/>
      <c r="Q80" s="130">
        <f>IF(COUNTIF($B$8:$B80,$B80)=1,1,0)</f>
        <v>0</v>
      </c>
      <c r="R80" s="131">
        <f>IFERROR((COUNTIF($A:$A,'Client Level Data'!$A80))/COUNTIF($B:$B,$B80),0)</f>
        <v>0</v>
      </c>
      <c r="S80" s="131" t="str">
        <f>IF(SUMIFS($R:$R,$J:$J,"Yes",$B:$B,'Client Level Data'!$B80)&gt;0,"Chronic Flag","")</f>
        <v/>
      </c>
      <c r="T80" s="131" t="str">
        <f>IF(SUMIFS($R:$R,$G:$G,"Yes",$B:$B,'Client Level Data'!$B80)&gt;0,"PY Flag","")</f>
        <v/>
      </c>
      <c r="U80" s="131" t="str">
        <f>IF(SUMIFS($R:$R,$D:$D,"&lt;18",$G:$G,"Yes",$B:$B,'Client Level Data'!$B80)&gt;0,"PY &lt;18",IF(SUMIFS($R:$R,$D:$D,"&gt;17",$D:$D,"&lt;25",$G:$G,"Yes",$B:$B,'Client Level Data'!$B80)&gt;0,"PY &gt;17 &lt;25",""))</f>
        <v/>
      </c>
      <c r="V80" s="131">
        <f>IF('Client Level Data'!$K80="Yes",1,0)+IF('Client Level Data'!$L80="Yes",1,0)+IF('Client Level Data'!$M80="Yes",1,0)</f>
        <v>0</v>
      </c>
      <c r="W80" s="132" t="str">
        <f>IF(SUMIFS($R:$R,$F:$F,"Yes",$B:$B,'Client Level Data'!$B80)&gt;0,"Vet Flag","")</f>
        <v/>
      </c>
      <c r="X80" s="133">
        <f t="shared" si="22"/>
        <v>0</v>
      </c>
      <c r="Y80" s="133" t="e">
        <f t="shared" si="23"/>
        <v>#N/A</v>
      </c>
      <c r="Z80" s="133" t="e">
        <f t="shared" si="24"/>
        <v>#N/A</v>
      </c>
      <c r="AA80" s="133">
        <f t="shared" si="25"/>
        <v>0</v>
      </c>
      <c r="AB80" s="133" t="str">
        <f>IF(SUMIFS($R:$R,$H:$H,"Yes",$B:$B,'Client Level Data'!$B80)&gt;0,"CPY Flag","")</f>
        <v/>
      </c>
      <c r="AC80" s="133" t="str">
        <f t="shared" si="26"/>
        <v>N/A</v>
      </c>
      <c r="AD80" s="133">
        <f t="shared" si="27"/>
        <v>200</v>
      </c>
      <c r="AE80" s="133" t="str">
        <f t="shared" si="28"/>
        <v>Child</v>
      </c>
      <c r="AF80" s="133">
        <f t="shared" si="29"/>
        <v>200</v>
      </c>
      <c r="AG80" s="133" t="str">
        <f t="shared" si="30"/>
        <v>True</v>
      </c>
      <c r="AH80" s="133">
        <f t="shared" si="31"/>
        <v>200</v>
      </c>
      <c r="AI80" s="133" t="str">
        <f t="shared" si="32"/>
        <v>False</v>
      </c>
    </row>
    <row r="81" spans="1:35" ht="15.75" customHeight="1" x14ac:dyDescent="0.25">
      <c r="A81" s="8">
        <v>174</v>
      </c>
      <c r="B81" s="9"/>
      <c r="C81" s="9"/>
      <c r="D81" s="10"/>
      <c r="E81" s="156"/>
      <c r="F81" s="9"/>
      <c r="G81" s="9"/>
      <c r="H81" s="9"/>
      <c r="I81" s="9"/>
      <c r="J81" s="9"/>
      <c r="K81" s="148"/>
      <c r="L81" s="148"/>
      <c r="M81" s="148"/>
      <c r="N81" s="148"/>
      <c r="O81" s="110"/>
      <c r="P81" s="111"/>
      <c r="Q81" s="109">
        <f>IF(COUNTIF($B$8:$B81,$B81)=1,1,0)</f>
        <v>0</v>
      </c>
      <c r="R81" s="22">
        <f>IFERROR((COUNTIF($A:$A,'Client Level Data'!$A81))/COUNTIF($B:$B,$B81),0)</f>
        <v>0</v>
      </c>
      <c r="S81" s="22" t="str">
        <f>IF(SUMIFS($R:$R,$J:$J,"Yes",$B:$B,'Client Level Data'!$B81)&gt;0,"Chronic Flag","")</f>
        <v/>
      </c>
      <c r="T81" s="22" t="str">
        <f>IF(SUMIFS($R:$R,$G:$G,"Yes",$B:$B,'Client Level Data'!$B81)&gt;0,"PY Flag","")</f>
        <v/>
      </c>
      <c r="U81" s="22" t="str">
        <f>IF(SUMIFS($R:$R,$D:$D,"&lt;18",$G:$G,"Yes",$B:$B,'Client Level Data'!$B81)&gt;0,"PY &lt;18",IF(SUMIFS($R:$R,$D:$D,"&gt;17",$D:$D,"&lt;25",$G:$G,"Yes",$B:$B,'Client Level Data'!$B81)&gt;0,"PY &gt;17 &lt;25",""))</f>
        <v/>
      </c>
      <c r="V81" s="22">
        <f>IF('Client Level Data'!$K81="Yes",1,0)+IF('Client Level Data'!$L81="Yes",1,0)+IF('Client Level Data'!$M81="Yes",1,0)</f>
        <v>0</v>
      </c>
      <c r="W81" s="21" t="str">
        <f>IF(SUMIFS($R:$R,$F:$F,"Yes",$B:$B,'Client Level Data'!$B81)&gt;0,"Vet Flag","")</f>
        <v/>
      </c>
      <c r="X81" s="12">
        <f t="shared" si="22"/>
        <v>0</v>
      </c>
      <c r="Y81" s="12" t="e">
        <f t="shared" si="23"/>
        <v>#N/A</v>
      </c>
      <c r="Z81" s="12" t="e">
        <f t="shared" si="24"/>
        <v>#N/A</v>
      </c>
      <c r="AA81" s="12">
        <f t="shared" si="25"/>
        <v>0</v>
      </c>
      <c r="AB81" s="12" t="str">
        <f>IF(SUMIFS($R:$R,$H:$H,"Yes",$B:$B,'Client Level Data'!$B81)&gt;0,"CPY Flag","")</f>
        <v/>
      </c>
      <c r="AC81" s="12" t="str">
        <f t="shared" si="26"/>
        <v>N/A</v>
      </c>
      <c r="AD81" s="12">
        <f t="shared" si="27"/>
        <v>200</v>
      </c>
      <c r="AE81" s="12" t="str">
        <f t="shared" si="28"/>
        <v>Child</v>
      </c>
      <c r="AF81" s="12">
        <f t="shared" si="29"/>
        <v>200</v>
      </c>
      <c r="AG81" s="12" t="str">
        <f t="shared" si="30"/>
        <v>True</v>
      </c>
      <c r="AH81" s="12">
        <f t="shared" si="31"/>
        <v>200</v>
      </c>
      <c r="AI81" s="12" t="str">
        <f t="shared" si="32"/>
        <v>False</v>
      </c>
    </row>
    <row r="82" spans="1:35" s="133" customFormat="1" ht="15.75" customHeight="1" x14ac:dyDescent="0.25">
      <c r="A82" s="125">
        <v>175</v>
      </c>
      <c r="B82" s="126"/>
      <c r="C82" s="126"/>
      <c r="D82" s="127"/>
      <c r="E82" s="157"/>
      <c r="F82" s="126"/>
      <c r="G82" s="126"/>
      <c r="H82" s="126"/>
      <c r="I82" s="126"/>
      <c r="J82" s="126"/>
      <c r="K82" s="126"/>
      <c r="L82" s="126"/>
      <c r="M82" s="126"/>
      <c r="N82" s="126"/>
      <c r="O82" s="128"/>
      <c r="P82" s="129"/>
      <c r="Q82" s="130">
        <f>IF(COUNTIF($B$8:$B82,$B82)=1,1,0)</f>
        <v>0</v>
      </c>
      <c r="R82" s="131">
        <f>IFERROR((COUNTIF($A:$A,'Client Level Data'!$A82))/COUNTIF($B:$B,$B82),0)</f>
        <v>0</v>
      </c>
      <c r="S82" s="131" t="str">
        <f>IF(SUMIFS($R:$R,$J:$J,"Yes",$B:$B,'Client Level Data'!$B82)&gt;0,"Chronic Flag","")</f>
        <v/>
      </c>
      <c r="T82" s="131" t="str">
        <f>IF(SUMIFS($R:$R,$G:$G,"Yes",$B:$B,'Client Level Data'!$B82)&gt;0,"PY Flag","")</f>
        <v/>
      </c>
      <c r="U82" s="131" t="str">
        <f>IF(SUMIFS($R:$R,$D:$D,"&lt;18",$G:$G,"Yes",$B:$B,'Client Level Data'!$B82)&gt;0,"PY &lt;18",IF(SUMIFS($R:$R,$D:$D,"&gt;17",$D:$D,"&lt;25",$G:$G,"Yes",$B:$B,'Client Level Data'!$B82)&gt;0,"PY &gt;17 &lt;25",""))</f>
        <v/>
      </c>
      <c r="V82" s="131">
        <f>IF('Client Level Data'!$K82="Yes",1,0)+IF('Client Level Data'!$L82="Yes",1,0)+IF('Client Level Data'!$M82="Yes",1,0)</f>
        <v>0</v>
      </c>
      <c r="W82" s="132" t="str">
        <f>IF(SUMIFS($R:$R,$F:$F,"Yes",$B:$B,'Client Level Data'!$B82)&gt;0,"Vet Flag","")</f>
        <v/>
      </c>
      <c r="X82" s="133">
        <f t="shared" si="22"/>
        <v>0</v>
      </c>
      <c r="Y82" s="133" t="e">
        <f t="shared" si="23"/>
        <v>#N/A</v>
      </c>
      <c r="Z82" s="133" t="e">
        <f t="shared" si="24"/>
        <v>#N/A</v>
      </c>
      <c r="AA82" s="133">
        <f t="shared" si="25"/>
        <v>0</v>
      </c>
      <c r="AB82" s="133" t="str">
        <f>IF(SUMIFS($R:$R,$H:$H,"Yes",$B:$B,'Client Level Data'!$B82)&gt;0,"CPY Flag","")</f>
        <v/>
      </c>
      <c r="AC82" s="133" t="str">
        <f t="shared" si="26"/>
        <v>N/A</v>
      </c>
      <c r="AD82" s="133">
        <f t="shared" si="27"/>
        <v>200</v>
      </c>
      <c r="AE82" s="133" t="str">
        <f t="shared" si="28"/>
        <v>Child</v>
      </c>
      <c r="AF82" s="133">
        <f t="shared" si="29"/>
        <v>200</v>
      </c>
      <c r="AG82" s="133" t="str">
        <f t="shared" si="30"/>
        <v>True</v>
      </c>
      <c r="AH82" s="133">
        <f t="shared" si="31"/>
        <v>200</v>
      </c>
      <c r="AI82" s="133" t="str">
        <f t="shared" si="32"/>
        <v>False</v>
      </c>
    </row>
    <row r="83" spans="1:35" ht="15.75" customHeight="1" x14ac:dyDescent="0.25">
      <c r="A83" s="8">
        <v>176</v>
      </c>
      <c r="B83" s="9"/>
      <c r="C83" s="9"/>
      <c r="D83" s="10"/>
      <c r="E83" s="156"/>
      <c r="F83" s="9"/>
      <c r="G83" s="9"/>
      <c r="H83" s="9"/>
      <c r="I83" s="9"/>
      <c r="J83" s="9"/>
      <c r="K83" s="148"/>
      <c r="L83" s="148"/>
      <c r="M83" s="148"/>
      <c r="N83" s="148"/>
      <c r="O83" s="11"/>
      <c r="P83" s="11"/>
      <c r="Q83" s="21">
        <f>IF(COUNTIF($B$8:$B83,$B83)=1,1,0)</f>
        <v>0</v>
      </c>
      <c r="R83" s="22">
        <f>IFERROR((COUNTIF($A:$A,'Client Level Data'!$A83))/COUNTIF($B:$B,$B83),0)</f>
        <v>0</v>
      </c>
      <c r="S83" s="22" t="str">
        <f>IF(SUMIFS($R:$R,$J:$J,"Yes",$B:$B,'Client Level Data'!$B83)&gt;0,"Chronic Flag","")</f>
        <v/>
      </c>
      <c r="T83" s="22" t="str">
        <f>IF(SUMIFS($R:$R,$G:$G,"Yes",$B:$B,'Client Level Data'!$B83)&gt;0,"PY Flag","")</f>
        <v/>
      </c>
      <c r="U83" s="22" t="str">
        <f>IF(SUMIFS($R:$R,$D:$D,"&lt;18",$G:$G,"Yes",$B:$B,'Client Level Data'!$B83)&gt;0,"PY &lt;18",IF(SUMIFS($R:$R,$D:$D,"&gt;17",$D:$D,"&lt;25",$G:$G,"Yes",$B:$B,'Client Level Data'!$B83)&gt;0,"PY &gt;17 &lt;25",""))</f>
        <v/>
      </c>
      <c r="V83" s="22">
        <f>IF('Client Level Data'!$K83="Yes",1,0)+IF('Client Level Data'!$L83="Yes",1,0)+IF('Client Level Data'!$M83="Yes",1,0)</f>
        <v>0</v>
      </c>
      <c r="W83" s="21" t="str">
        <f>IF(SUMIFS($R:$R,$F:$F,"Yes",$B:$B,'Client Level Data'!$B83)&gt;0,"Vet Flag","")</f>
        <v/>
      </c>
      <c r="X83" s="12">
        <f t="shared" si="22"/>
        <v>0</v>
      </c>
      <c r="Y83" s="12" t="e">
        <f t="shared" si="23"/>
        <v>#N/A</v>
      </c>
      <c r="Z83" s="12" t="e">
        <f t="shared" si="24"/>
        <v>#N/A</v>
      </c>
      <c r="AA83" s="12">
        <f t="shared" si="25"/>
        <v>0</v>
      </c>
      <c r="AB83" s="12" t="str">
        <f>IF(SUMIFS($R:$R,$H:$H,"Yes",$B:$B,'Client Level Data'!$B83)&gt;0,"CPY Flag","")</f>
        <v/>
      </c>
      <c r="AC83" s="12" t="str">
        <f t="shared" si="26"/>
        <v>N/A</v>
      </c>
      <c r="AD83" s="12">
        <f t="shared" si="27"/>
        <v>200</v>
      </c>
      <c r="AE83" s="12" t="str">
        <f t="shared" si="28"/>
        <v>Child</v>
      </c>
      <c r="AF83" s="12">
        <f t="shared" si="29"/>
        <v>200</v>
      </c>
      <c r="AG83" s="12" t="str">
        <f t="shared" si="30"/>
        <v>True</v>
      </c>
      <c r="AH83" s="12">
        <f t="shared" si="31"/>
        <v>200</v>
      </c>
      <c r="AI83" s="12" t="str">
        <f t="shared" si="32"/>
        <v>False</v>
      </c>
    </row>
    <row r="84" spans="1:35" s="133" customFormat="1" ht="15.75" customHeight="1" x14ac:dyDescent="0.25">
      <c r="A84" s="125">
        <v>177</v>
      </c>
      <c r="B84" s="126"/>
      <c r="C84" s="126"/>
      <c r="D84" s="127"/>
      <c r="E84" s="157"/>
      <c r="F84" s="126"/>
      <c r="G84" s="126"/>
      <c r="H84" s="126"/>
      <c r="I84" s="126"/>
      <c r="J84" s="126"/>
      <c r="K84" s="126"/>
      <c r="L84" s="126"/>
      <c r="M84" s="126"/>
      <c r="N84" s="126"/>
      <c r="O84" s="142"/>
      <c r="P84" s="144"/>
      <c r="Q84" s="132">
        <f>IF(COUNTIF($B$8:$B84,$B84)=1,1,0)</f>
        <v>0</v>
      </c>
      <c r="R84" s="131">
        <f>IFERROR((COUNTIF($A:$A,'Client Level Data'!$A84))/COUNTIF($B:$B,$B84),0)</f>
        <v>0</v>
      </c>
      <c r="S84" s="131" t="str">
        <f>IF(SUMIFS($R:$R,$J:$J,"Yes",$B:$B,'Client Level Data'!$B84)&gt;0,"Chronic Flag","")</f>
        <v/>
      </c>
      <c r="T84" s="131" t="str">
        <f>IF(SUMIFS($R:$R,$G:$G,"Yes",$B:$B,'Client Level Data'!$B84)&gt;0,"PY Flag","")</f>
        <v/>
      </c>
      <c r="U84" s="131" t="str">
        <f>IF(SUMIFS($R:$R,$D:$D,"&lt;18",$G:$G,"Yes",$B:$B,'Client Level Data'!$B84)&gt;0,"PY &lt;18",IF(SUMIFS($R:$R,$D:$D,"&gt;17",$D:$D,"&lt;25",$G:$G,"Yes",$B:$B,'Client Level Data'!$B84)&gt;0,"PY &gt;17 &lt;25",""))</f>
        <v/>
      </c>
      <c r="V84" s="131">
        <f>IF('Client Level Data'!$K84="Yes",1,0)+IF('Client Level Data'!$L84="Yes",1,0)+IF('Client Level Data'!$M84="Yes",1,0)</f>
        <v>0</v>
      </c>
      <c r="W84" s="132" t="str">
        <f>IF(SUMIFS($R:$R,$F:$F,"Yes",$B:$B,'Client Level Data'!$B84)&gt;0,"Vet Flag","")</f>
        <v/>
      </c>
      <c r="X84" s="133">
        <f t="shared" si="22"/>
        <v>0</v>
      </c>
      <c r="Y84" s="133" t="e">
        <f t="shared" si="23"/>
        <v>#N/A</v>
      </c>
      <c r="Z84" s="133" t="e">
        <f t="shared" si="24"/>
        <v>#N/A</v>
      </c>
      <c r="AA84" s="133">
        <f t="shared" si="25"/>
        <v>0</v>
      </c>
      <c r="AB84" s="133" t="str">
        <f>IF(SUMIFS($R:$R,$H:$H,"Yes",$B:$B,'Client Level Data'!$B84)&gt;0,"CPY Flag","")</f>
        <v/>
      </c>
      <c r="AC84" s="133" t="str">
        <f t="shared" si="26"/>
        <v>N/A</v>
      </c>
      <c r="AD84" s="133">
        <f t="shared" si="27"/>
        <v>200</v>
      </c>
      <c r="AE84" s="133" t="str">
        <f t="shared" si="28"/>
        <v>Child</v>
      </c>
      <c r="AF84" s="133">
        <f t="shared" si="29"/>
        <v>200</v>
      </c>
      <c r="AG84" s="133" t="str">
        <f t="shared" si="30"/>
        <v>True</v>
      </c>
      <c r="AH84" s="133">
        <f t="shared" si="31"/>
        <v>200</v>
      </c>
      <c r="AI84" s="133" t="str">
        <f t="shared" si="32"/>
        <v>False</v>
      </c>
    </row>
    <row r="85" spans="1:35" ht="15.75" customHeight="1" x14ac:dyDescent="0.25">
      <c r="A85" s="8">
        <v>178</v>
      </c>
      <c r="B85" s="9"/>
      <c r="C85" s="9"/>
      <c r="D85" s="10"/>
      <c r="E85" s="156"/>
      <c r="F85" s="9"/>
      <c r="G85" s="9"/>
      <c r="H85" s="9"/>
      <c r="I85" s="9"/>
      <c r="J85" s="9"/>
      <c r="K85" s="148"/>
      <c r="L85" s="148"/>
      <c r="M85" s="148"/>
      <c r="N85" s="148"/>
      <c r="O85" s="112"/>
      <c r="P85" s="113"/>
      <c r="Q85" s="21">
        <f>IF(COUNTIF($B$8:$B85,$B85)=1,1,0)</f>
        <v>0</v>
      </c>
      <c r="R85" s="22">
        <f>IFERROR((COUNTIF($A:$A,'Client Level Data'!$A85))/COUNTIF($B:$B,$B85),0)</f>
        <v>0</v>
      </c>
      <c r="S85" s="22" t="str">
        <f>IF(SUMIFS($R:$R,$J:$J,"Yes",$B:$B,'Client Level Data'!$B85)&gt;0,"Chronic Flag","")</f>
        <v/>
      </c>
      <c r="T85" s="22" t="str">
        <f>IF(SUMIFS($R:$R,$G:$G,"Yes",$B:$B,'Client Level Data'!$B85)&gt;0,"PY Flag","")</f>
        <v/>
      </c>
      <c r="U85" s="22" t="str">
        <f>IF(SUMIFS($R:$R,$D:$D,"&lt;18",$G:$G,"Yes",$B:$B,'Client Level Data'!$B85)&gt;0,"PY &lt;18",IF(SUMIFS($R:$R,$D:$D,"&gt;17",$D:$D,"&lt;25",$G:$G,"Yes",$B:$B,'Client Level Data'!$B85)&gt;0,"PY &gt;17 &lt;25",""))</f>
        <v/>
      </c>
      <c r="V85" s="22">
        <f>IF('Client Level Data'!$K85="Yes",1,0)+IF('Client Level Data'!$L85="Yes",1,0)+IF('Client Level Data'!$M85="Yes",1,0)</f>
        <v>0</v>
      </c>
      <c r="W85" s="21" t="str">
        <f>IF(SUMIFS($R:$R,$F:$F,"Yes",$B:$B,'Client Level Data'!$B85)&gt;0,"Vet Flag","")</f>
        <v/>
      </c>
      <c r="X85" s="12">
        <f t="shared" si="22"/>
        <v>0</v>
      </c>
      <c r="Y85" s="12" t="e">
        <f t="shared" si="23"/>
        <v>#N/A</v>
      </c>
      <c r="Z85" s="12" t="e">
        <f t="shared" si="24"/>
        <v>#N/A</v>
      </c>
      <c r="AA85" s="12">
        <f t="shared" si="25"/>
        <v>0</v>
      </c>
      <c r="AB85" s="12" t="str">
        <f>IF(SUMIFS($R:$R,$H:$H,"Yes",$B:$B,'Client Level Data'!$B85)&gt;0,"CPY Flag","")</f>
        <v/>
      </c>
      <c r="AC85" s="12" t="str">
        <f t="shared" si="26"/>
        <v>N/A</v>
      </c>
      <c r="AD85" s="12">
        <f t="shared" si="27"/>
        <v>200</v>
      </c>
      <c r="AE85" s="12" t="str">
        <f t="shared" si="28"/>
        <v>Child</v>
      </c>
      <c r="AF85" s="12">
        <f t="shared" si="29"/>
        <v>200</v>
      </c>
      <c r="AG85" s="12" t="str">
        <f t="shared" si="30"/>
        <v>True</v>
      </c>
      <c r="AH85" s="12">
        <f t="shared" si="31"/>
        <v>200</v>
      </c>
      <c r="AI85" s="12" t="str">
        <f t="shared" si="32"/>
        <v>False</v>
      </c>
    </row>
    <row r="86" spans="1:35" s="133" customFormat="1" ht="15.75" customHeight="1" x14ac:dyDescent="0.25">
      <c r="A86" s="125">
        <v>179</v>
      </c>
      <c r="B86" s="126"/>
      <c r="C86" s="126"/>
      <c r="D86" s="127"/>
      <c r="E86" s="157"/>
      <c r="F86" s="126"/>
      <c r="G86" s="126"/>
      <c r="H86" s="126"/>
      <c r="I86" s="126"/>
      <c r="J86" s="126"/>
      <c r="K86" s="126"/>
      <c r="L86" s="126"/>
      <c r="M86" s="126"/>
      <c r="N86" s="126"/>
      <c r="O86" s="134"/>
      <c r="P86" s="135"/>
      <c r="Q86" s="132">
        <f>IF(COUNTIF($B$8:$B86,$B86)=1,1,0)</f>
        <v>0</v>
      </c>
      <c r="R86" s="131">
        <f>IFERROR((COUNTIF($A:$A,'Client Level Data'!$A86))/COUNTIF($B:$B,$B86),0)</f>
        <v>0</v>
      </c>
      <c r="S86" s="131" t="str">
        <f>IF(SUMIFS($R:$R,$J:$J,"Yes",$B:$B,'Client Level Data'!$B86)&gt;0,"Chronic Flag","")</f>
        <v/>
      </c>
      <c r="T86" s="131" t="str">
        <f>IF(SUMIFS($R:$R,$G:$G,"Yes",$B:$B,'Client Level Data'!$B86)&gt;0,"PY Flag","")</f>
        <v/>
      </c>
      <c r="U86" s="131" t="str">
        <f>IF(SUMIFS($R:$R,$D:$D,"&lt;18",$G:$G,"Yes",$B:$B,'Client Level Data'!$B86)&gt;0,"PY &lt;18",IF(SUMIFS($R:$R,$D:$D,"&gt;17",$D:$D,"&lt;25",$G:$G,"Yes",$B:$B,'Client Level Data'!$B86)&gt;0,"PY &gt;17 &lt;25",""))</f>
        <v/>
      </c>
      <c r="V86" s="131">
        <f>IF('Client Level Data'!$K86="Yes",1,0)+IF('Client Level Data'!$L86="Yes",1,0)+IF('Client Level Data'!$M86="Yes",1,0)</f>
        <v>0</v>
      </c>
      <c r="W86" s="132" t="str">
        <f>IF(SUMIFS($R:$R,$F:$F,"Yes",$B:$B,'Client Level Data'!$B86)&gt;0,"Vet Flag","")</f>
        <v/>
      </c>
      <c r="X86" s="133">
        <f t="shared" si="22"/>
        <v>0</v>
      </c>
      <c r="Y86" s="133" t="e">
        <f t="shared" si="23"/>
        <v>#N/A</v>
      </c>
      <c r="Z86" s="133" t="e">
        <f t="shared" si="24"/>
        <v>#N/A</v>
      </c>
      <c r="AA86" s="133">
        <f t="shared" si="25"/>
        <v>0</v>
      </c>
      <c r="AB86" s="133" t="str">
        <f>IF(SUMIFS($R:$R,$H:$H,"Yes",$B:$B,'Client Level Data'!$B86)&gt;0,"CPY Flag","")</f>
        <v/>
      </c>
      <c r="AC86" s="133" t="str">
        <f t="shared" si="26"/>
        <v>N/A</v>
      </c>
      <c r="AD86" s="133">
        <f t="shared" si="27"/>
        <v>200</v>
      </c>
      <c r="AE86" s="133" t="str">
        <f t="shared" si="28"/>
        <v>Child</v>
      </c>
      <c r="AF86" s="133">
        <f t="shared" si="29"/>
        <v>200</v>
      </c>
      <c r="AG86" s="133" t="str">
        <f t="shared" si="30"/>
        <v>True</v>
      </c>
      <c r="AH86" s="133">
        <f t="shared" si="31"/>
        <v>200</v>
      </c>
      <c r="AI86" s="133" t="str">
        <f t="shared" si="32"/>
        <v>False</v>
      </c>
    </row>
    <row r="87" spans="1:35" ht="15.75" customHeight="1" x14ac:dyDescent="0.25">
      <c r="A87" s="8">
        <v>180</v>
      </c>
      <c r="B87" s="9"/>
      <c r="C87" s="9"/>
      <c r="D87" s="10"/>
      <c r="E87" s="156"/>
      <c r="F87" s="9"/>
      <c r="G87" s="9"/>
      <c r="H87" s="9"/>
      <c r="I87" s="9"/>
      <c r="J87" s="9"/>
      <c r="K87" s="148"/>
      <c r="L87" s="148"/>
      <c r="M87" s="148"/>
      <c r="N87" s="148"/>
      <c r="O87" s="11"/>
      <c r="P87" s="11"/>
      <c r="Q87" s="21">
        <f>IF(COUNTIF($B$8:$B87,$B87)=1,1,0)</f>
        <v>0</v>
      </c>
      <c r="R87" s="22">
        <f>IFERROR((COUNTIF($A:$A,'Client Level Data'!$A87))/COUNTIF($B:$B,$B87),0)</f>
        <v>0</v>
      </c>
      <c r="S87" s="22" t="str">
        <f>IF(SUMIFS($R:$R,$J:$J,"Yes",$B:$B,'Client Level Data'!$B87)&gt;0,"Chronic Flag","")</f>
        <v/>
      </c>
      <c r="T87" s="22" t="str">
        <f>IF(SUMIFS($R:$R,$G:$G,"Yes",$B:$B,'Client Level Data'!$B87)&gt;0,"PY Flag","")</f>
        <v/>
      </c>
      <c r="U87" s="22" t="str">
        <f>IF(SUMIFS($R:$R,$D:$D,"&lt;18",$G:$G,"Yes",$B:$B,'Client Level Data'!$B87)&gt;0,"PY &lt;18",IF(SUMIFS($R:$R,$D:$D,"&gt;17",$D:$D,"&lt;25",$G:$G,"Yes",$B:$B,'Client Level Data'!$B87)&gt;0,"PY &gt;17 &lt;25",""))</f>
        <v/>
      </c>
      <c r="V87" s="22">
        <f>IF('Client Level Data'!$K87="Yes",1,0)+IF('Client Level Data'!$L87="Yes",1,0)+IF('Client Level Data'!$M87="Yes",1,0)</f>
        <v>0</v>
      </c>
      <c r="W87" s="21" t="str">
        <f>IF(SUMIFS($R:$R,$F:$F,"Yes",$B:$B,'Client Level Data'!$B87)&gt;0,"Vet Flag","")</f>
        <v/>
      </c>
      <c r="X87" s="12">
        <f t="shared" si="22"/>
        <v>0</v>
      </c>
      <c r="Y87" s="12" t="e">
        <f t="shared" si="23"/>
        <v>#N/A</v>
      </c>
      <c r="Z87" s="12" t="e">
        <f t="shared" si="24"/>
        <v>#N/A</v>
      </c>
      <c r="AA87" s="12">
        <f t="shared" si="25"/>
        <v>0</v>
      </c>
      <c r="AB87" s="12" t="str">
        <f>IF(SUMIFS($R:$R,$H:$H,"Yes",$B:$B,'Client Level Data'!$B87)&gt;0,"CPY Flag","")</f>
        <v/>
      </c>
      <c r="AC87" s="12" t="str">
        <f t="shared" si="26"/>
        <v>N/A</v>
      </c>
      <c r="AD87" s="12">
        <f t="shared" si="27"/>
        <v>200</v>
      </c>
      <c r="AE87" s="12" t="str">
        <f t="shared" si="28"/>
        <v>Child</v>
      </c>
      <c r="AF87" s="12">
        <f t="shared" si="29"/>
        <v>200</v>
      </c>
      <c r="AG87" s="12" t="str">
        <f t="shared" si="30"/>
        <v>True</v>
      </c>
      <c r="AH87" s="12">
        <f t="shared" si="31"/>
        <v>200</v>
      </c>
      <c r="AI87" s="12" t="str">
        <f t="shared" si="32"/>
        <v>False</v>
      </c>
    </row>
    <row r="88" spans="1:35" s="133" customFormat="1" ht="15.75" customHeight="1" x14ac:dyDescent="0.25">
      <c r="A88" s="125">
        <v>181</v>
      </c>
      <c r="B88" s="126"/>
      <c r="C88" s="126"/>
      <c r="D88" s="127"/>
      <c r="E88" s="157"/>
      <c r="F88" s="126"/>
      <c r="G88" s="126"/>
      <c r="H88" s="126"/>
      <c r="I88" s="126"/>
      <c r="J88" s="126"/>
      <c r="K88" s="126"/>
      <c r="L88" s="126"/>
      <c r="M88" s="126"/>
      <c r="N88" s="126"/>
      <c r="O88" s="128"/>
      <c r="P88" s="129"/>
      <c r="Q88" s="130">
        <f>IF(COUNTIF($B$8:$B88,$B88)=1,1,0)</f>
        <v>0</v>
      </c>
      <c r="R88" s="131">
        <f>IFERROR((COUNTIF($A:$A,'Client Level Data'!$A88))/COUNTIF($B:$B,$B88),0)</f>
        <v>0</v>
      </c>
      <c r="S88" s="131" t="str">
        <f>IF(SUMIFS($R:$R,$J:$J,"Yes",$B:$B,'Client Level Data'!$B88)&gt;0,"Chronic Flag","")</f>
        <v/>
      </c>
      <c r="T88" s="131" t="str">
        <f>IF(SUMIFS($R:$R,$G:$G,"Yes",$B:$B,'Client Level Data'!$B88)&gt;0,"PY Flag","")</f>
        <v/>
      </c>
      <c r="U88" s="131" t="str">
        <f>IF(SUMIFS($R:$R,$D:$D,"&lt;18",$G:$G,"Yes",$B:$B,'Client Level Data'!$B88)&gt;0,"PY &lt;18",IF(SUMIFS($R:$R,$D:$D,"&gt;17",$D:$D,"&lt;25",$G:$G,"Yes",$B:$B,'Client Level Data'!$B88)&gt;0,"PY &gt;17 &lt;25",""))</f>
        <v/>
      </c>
      <c r="V88" s="131">
        <f>IF('Client Level Data'!$K88="Yes",1,0)+IF('Client Level Data'!$L88="Yes",1,0)+IF('Client Level Data'!$M88="Yes",1,0)</f>
        <v>0</v>
      </c>
      <c r="W88" s="132" t="str">
        <f>IF(SUMIFS($R:$R,$F:$F,"Yes",$B:$B,'Client Level Data'!$B88)&gt;0,"Vet Flag","")</f>
        <v/>
      </c>
      <c r="X88" s="133">
        <f t="shared" si="22"/>
        <v>0</v>
      </c>
      <c r="Y88" s="133" t="e">
        <f t="shared" si="23"/>
        <v>#N/A</v>
      </c>
      <c r="Z88" s="133" t="e">
        <f t="shared" si="24"/>
        <v>#N/A</v>
      </c>
      <c r="AA88" s="133">
        <f t="shared" si="25"/>
        <v>0</v>
      </c>
      <c r="AB88" s="133" t="str">
        <f>IF(SUMIFS($R:$R,$H:$H,"Yes",$B:$B,'Client Level Data'!$B88)&gt;0,"CPY Flag","")</f>
        <v/>
      </c>
      <c r="AC88" s="133" t="str">
        <f t="shared" si="26"/>
        <v>N/A</v>
      </c>
      <c r="AD88" s="133">
        <f t="shared" si="27"/>
        <v>200</v>
      </c>
      <c r="AE88" s="133" t="str">
        <f t="shared" si="28"/>
        <v>Child</v>
      </c>
      <c r="AF88" s="133">
        <f t="shared" si="29"/>
        <v>200</v>
      </c>
      <c r="AG88" s="133" t="str">
        <f t="shared" si="30"/>
        <v>True</v>
      </c>
      <c r="AH88" s="133">
        <f t="shared" si="31"/>
        <v>200</v>
      </c>
      <c r="AI88" s="133" t="str">
        <f t="shared" si="32"/>
        <v>False</v>
      </c>
    </row>
    <row r="89" spans="1:35" ht="15.75" customHeight="1" x14ac:dyDescent="0.25">
      <c r="A89" s="8">
        <v>182</v>
      </c>
      <c r="B89" s="9"/>
      <c r="C89" s="9"/>
      <c r="D89" s="10"/>
      <c r="E89" s="156"/>
      <c r="F89" s="9"/>
      <c r="G89" s="9"/>
      <c r="H89" s="9"/>
      <c r="I89" s="9"/>
      <c r="J89" s="9"/>
      <c r="K89" s="148"/>
      <c r="L89" s="148"/>
      <c r="M89" s="148"/>
      <c r="N89" s="148"/>
      <c r="O89" s="11"/>
      <c r="P89" s="11"/>
      <c r="Q89" s="21">
        <f>IF(COUNTIF($B$8:$B89,$B89)=1,1,0)</f>
        <v>0</v>
      </c>
      <c r="R89" s="22">
        <f>IFERROR((COUNTIF($A:$A,'Client Level Data'!$A89))/COUNTIF($B:$B,$B89),0)</f>
        <v>0</v>
      </c>
      <c r="S89" s="22" t="str">
        <f>IF(SUMIFS($R:$R,$J:$J,"Yes",$B:$B,'Client Level Data'!$B89)&gt;0,"Chronic Flag","")</f>
        <v/>
      </c>
      <c r="T89" s="22" t="str">
        <f>IF(SUMIFS($R:$R,$G:$G,"Yes",$B:$B,'Client Level Data'!$B89)&gt;0,"PY Flag","")</f>
        <v/>
      </c>
      <c r="U89" s="22" t="str">
        <f>IF(SUMIFS($R:$R,$D:$D,"&lt;18",$G:$G,"Yes",$B:$B,'Client Level Data'!$B89)&gt;0,"PY &lt;18",IF(SUMIFS($R:$R,$D:$D,"&gt;17",$D:$D,"&lt;25",$G:$G,"Yes",$B:$B,'Client Level Data'!$B89)&gt;0,"PY &gt;17 &lt;25",""))</f>
        <v/>
      </c>
      <c r="V89" s="22">
        <f>IF('Client Level Data'!$K89="Yes",1,0)+IF('Client Level Data'!$L89="Yes",1,0)+IF('Client Level Data'!$M89="Yes",1,0)</f>
        <v>0</v>
      </c>
      <c r="W89" s="21" t="str">
        <f>IF(SUMIFS($R:$R,$F:$F,"Yes",$B:$B,'Client Level Data'!$B89)&gt;0,"Vet Flag","")</f>
        <v/>
      </c>
      <c r="X89" s="12">
        <f t="shared" si="22"/>
        <v>0</v>
      </c>
      <c r="Y89" s="12" t="e">
        <f t="shared" si="23"/>
        <v>#N/A</v>
      </c>
      <c r="Z89" s="12" t="e">
        <f t="shared" si="24"/>
        <v>#N/A</v>
      </c>
      <c r="AA89" s="12">
        <f t="shared" si="25"/>
        <v>0</v>
      </c>
      <c r="AB89" s="12" t="str">
        <f>IF(SUMIFS($R:$R,$H:$H,"Yes",$B:$B,'Client Level Data'!$B89)&gt;0,"CPY Flag","")</f>
        <v/>
      </c>
      <c r="AC89" s="12" t="str">
        <f t="shared" si="26"/>
        <v>N/A</v>
      </c>
      <c r="AD89" s="12">
        <f t="shared" si="27"/>
        <v>200</v>
      </c>
      <c r="AE89" s="12" t="str">
        <f t="shared" si="28"/>
        <v>Child</v>
      </c>
      <c r="AF89" s="12">
        <f t="shared" si="29"/>
        <v>200</v>
      </c>
      <c r="AG89" s="12" t="str">
        <f t="shared" si="30"/>
        <v>True</v>
      </c>
      <c r="AH89" s="12">
        <f t="shared" si="31"/>
        <v>200</v>
      </c>
      <c r="AI89" s="12" t="str">
        <f t="shared" si="32"/>
        <v>False</v>
      </c>
    </row>
    <row r="90" spans="1:35" s="133" customFormat="1" ht="15.75" customHeight="1" x14ac:dyDescent="0.25">
      <c r="A90" s="125">
        <v>183</v>
      </c>
      <c r="B90" s="126"/>
      <c r="C90" s="126"/>
      <c r="D90" s="127"/>
      <c r="E90" s="157"/>
      <c r="F90" s="126"/>
      <c r="G90" s="126"/>
      <c r="H90" s="126"/>
      <c r="I90" s="126"/>
      <c r="J90" s="126"/>
      <c r="K90" s="126"/>
      <c r="L90" s="126"/>
      <c r="M90" s="126"/>
      <c r="N90" s="126"/>
      <c r="O90" s="128"/>
      <c r="P90" s="129"/>
      <c r="Q90" s="130">
        <f>IF(COUNTIF($B$8:$B90,$B90)=1,1,0)</f>
        <v>0</v>
      </c>
      <c r="R90" s="131">
        <f>IFERROR((COUNTIF($A:$A,'Client Level Data'!$A90))/COUNTIF($B:$B,$B90),0)</f>
        <v>0</v>
      </c>
      <c r="S90" s="131" t="str">
        <f>IF(SUMIFS($R:$R,$J:$J,"Yes",$B:$B,'Client Level Data'!$B90)&gt;0,"Chronic Flag","")</f>
        <v/>
      </c>
      <c r="T90" s="131" t="str">
        <f>IF(SUMIFS($R:$R,$G:$G,"Yes",$B:$B,'Client Level Data'!$B90)&gt;0,"PY Flag","")</f>
        <v/>
      </c>
      <c r="U90" s="131" t="str">
        <f>IF(SUMIFS($R:$R,$D:$D,"&lt;18",$G:$G,"Yes",$B:$B,'Client Level Data'!$B90)&gt;0,"PY &lt;18",IF(SUMIFS($R:$R,$D:$D,"&gt;17",$D:$D,"&lt;25",$G:$G,"Yes",$B:$B,'Client Level Data'!$B90)&gt;0,"PY &gt;17 &lt;25",""))</f>
        <v/>
      </c>
      <c r="V90" s="131">
        <f>IF('Client Level Data'!$K90="Yes",1,0)+IF('Client Level Data'!$L90="Yes",1,0)+IF('Client Level Data'!$M90="Yes",1,0)</f>
        <v>0</v>
      </c>
      <c r="W90" s="132" t="str">
        <f>IF(SUMIFS($R:$R,$F:$F,"Yes",$B:$B,'Client Level Data'!$B90)&gt;0,"Vet Flag","")</f>
        <v/>
      </c>
      <c r="X90" s="133">
        <f t="shared" si="22"/>
        <v>0</v>
      </c>
      <c r="Y90" s="133" t="e">
        <f t="shared" si="23"/>
        <v>#N/A</v>
      </c>
      <c r="Z90" s="133" t="e">
        <f t="shared" si="24"/>
        <v>#N/A</v>
      </c>
      <c r="AA90" s="133">
        <f t="shared" si="25"/>
        <v>0</v>
      </c>
      <c r="AB90" s="133" t="str">
        <f>IF(SUMIFS($R:$R,$H:$H,"Yes",$B:$B,'Client Level Data'!$B90)&gt;0,"CPY Flag","")</f>
        <v/>
      </c>
      <c r="AC90" s="133" t="str">
        <f t="shared" si="26"/>
        <v>N/A</v>
      </c>
      <c r="AD90" s="133">
        <f t="shared" si="27"/>
        <v>200</v>
      </c>
      <c r="AE90" s="133" t="str">
        <f t="shared" si="28"/>
        <v>Child</v>
      </c>
      <c r="AF90" s="133">
        <f t="shared" si="29"/>
        <v>200</v>
      </c>
      <c r="AG90" s="133" t="str">
        <f t="shared" si="30"/>
        <v>True</v>
      </c>
      <c r="AH90" s="133">
        <f t="shared" si="31"/>
        <v>200</v>
      </c>
      <c r="AI90" s="133" t="str">
        <f t="shared" si="32"/>
        <v>False</v>
      </c>
    </row>
    <row r="91" spans="1:35" ht="15.75" customHeight="1" x14ac:dyDescent="0.25">
      <c r="A91" s="8">
        <v>184</v>
      </c>
      <c r="B91" s="9"/>
      <c r="C91" s="9"/>
      <c r="D91" s="10"/>
      <c r="E91" s="156"/>
      <c r="F91" s="9"/>
      <c r="G91" s="9"/>
      <c r="H91" s="9"/>
      <c r="I91" s="9"/>
      <c r="J91" s="9"/>
      <c r="K91" s="148"/>
      <c r="L91" s="148"/>
      <c r="M91" s="148"/>
      <c r="N91" s="148"/>
      <c r="O91" s="115"/>
      <c r="P91" s="123"/>
      <c r="Q91" s="109">
        <f>IF(COUNTIF($B$8:$B91,$B91)=1,1,0)</f>
        <v>0</v>
      </c>
      <c r="R91" s="22">
        <f>IFERROR((COUNTIF($A:$A,'Client Level Data'!$A91))/COUNTIF($B:$B,$B91),0)</f>
        <v>0</v>
      </c>
      <c r="S91" s="22" t="str">
        <f>IF(SUMIFS($R:$R,$J:$J,"Yes",$B:$B,'Client Level Data'!$B91)&gt;0,"Chronic Flag","")</f>
        <v/>
      </c>
      <c r="T91" s="22" t="str">
        <f>IF(SUMIFS($R:$R,$G:$G,"Yes",$B:$B,'Client Level Data'!$B91)&gt;0,"PY Flag","")</f>
        <v/>
      </c>
      <c r="U91" s="22" t="str">
        <f>IF(SUMIFS($R:$R,$D:$D,"&lt;18",$G:$G,"Yes",$B:$B,'Client Level Data'!$B91)&gt;0,"PY &lt;18",IF(SUMIFS($R:$R,$D:$D,"&gt;17",$D:$D,"&lt;25",$G:$G,"Yes",$B:$B,'Client Level Data'!$B91)&gt;0,"PY &gt;17 &lt;25",""))</f>
        <v/>
      </c>
      <c r="V91" s="22">
        <f>IF('Client Level Data'!$K91="Yes",1,0)+IF('Client Level Data'!$L91="Yes",1,0)+IF('Client Level Data'!$M91="Yes",1,0)</f>
        <v>0</v>
      </c>
      <c r="W91" s="21" t="str">
        <f>IF(SUMIFS($R:$R,$F:$F,"Yes",$B:$B,'Client Level Data'!$B91)&gt;0,"Vet Flag","")</f>
        <v/>
      </c>
      <c r="X91" s="12">
        <f t="shared" si="22"/>
        <v>0</v>
      </c>
      <c r="Y91" s="12" t="e">
        <f t="shared" si="23"/>
        <v>#N/A</v>
      </c>
      <c r="Z91" s="12" t="e">
        <f t="shared" si="24"/>
        <v>#N/A</v>
      </c>
      <c r="AA91" s="12">
        <f t="shared" si="25"/>
        <v>0</v>
      </c>
      <c r="AB91" s="12" t="str">
        <f>IF(SUMIFS($R:$R,$H:$H,"Yes",$B:$B,'Client Level Data'!$B91)&gt;0,"CPY Flag","")</f>
        <v/>
      </c>
      <c r="AC91" s="12" t="str">
        <f t="shared" si="26"/>
        <v>N/A</v>
      </c>
      <c r="AD91" s="12">
        <f t="shared" si="27"/>
        <v>200</v>
      </c>
      <c r="AE91" s="12" t="str">
        <f t="shared" si="28"/>
        <v>Child</v>
      </c>
      <c r="AF91" s="12">
        <f t="shared" si="29"/>
        <v>200</v>
      </c>
      <c r="AG91" s="12" t="str">
        <f t="shared" si="30"/>
        <v>True</v>
      </c>
      <c r="AH91" s="12">
        <f t="shared" si="31"/>
        <v>200</v>
      </c>
      <c r="AI91" s="12" t="str">
        <f t="shared" si="32"/>
        <v>False</v>
      </c>
    </row>
    <row r="92" spans="1:35" s="133" customFormat="1" ht="15.75" customHeight="1" x14ac:dyDescent="0.25">
      <c r="A92" s="125">
        <v>185</v>
      </c>
      <c r="B92" s="126"/>
      <c r="C92" s="126"/>
      <c r="D92" s="127"/>
      <c r="E92" s="157"/>
      <c r="F92" s="126"/>
      <c r="G92" s="126"/>
      <c r="H92" s="126"/>
      <c r="I92" s="126"/>
      <c r="J92" s="126"/>
      <c r="K92" s="126"/>
      <c r="L92" s="126"/>
      <c r="M92" s="126"/>
      <c r="N92" s="126"/>
      <c r="O92" s="146"/>
      <c r="P92" s="142"/>
      <c r="Q92" s="130">
        <f>IF(COUNTIF($B$8:$B92,$B92)=1,1,0)</f>
        <v>0</v>
      </c>
      <c r="R92" s="131">
        <f>IFERROR((COUNTIF($A:$A,'Client Level Data'!$A92))/COUNTIF($B:$B,$B92),0)</f>
        <v>0</v>
      </c>
      <c r="S92" s="131" t="str">
        <f>IF(SUMIFS($R:$R,$J:$J,"Yes",$B:$B,'Client Level Data'!$B92)&gt;0,"Chronic Flag","")</f>
        <v/>
      </c>
      <c r="T92" s="131" t="str">
        <f>IF(SUMIFS($R:$R,$G:$G,"Yes",$B:$B,'Client Level Data'!$B92)&gt;0,"PY Flag","")</f>
        <v/>
      </c>
      <c r="U92" s="131" t="str">
        <f>IF(SUMIFS($R:$R,$D:$D,"&lt;18",$G:$G,"Yes",$B:$B,'Client Level Data'!$B92)&gt;0,"PY &lt;18",IF(SUMIFS($R:$R,$D:$D,"&gt;17",$D:$D,"&lt;25",$G:$G,"Yes",$B:$B,'Client Level Data'!$B92)&gt;0,"PY &gt;17 &lt;25",""))</f>
        <v/>
      </c>
      <c r="V92" s="131">
        <f>IF('Client Level Data'!$K92="Yes",1,0)+IF('Client Level Data'!$L92="Yes",1,0)+IF('Client Level Data'!$M92="Yes",1,0)</f>
        <v>0</v>
      </c>
      <c r="W92" s="132" t="str">
        <f>IF(SUMIFS($R:$R,$F:$F,"Yes",$B:$B,'Client Level Data'!$B92)&gt;0,"Vet Flag","")</f>
        <v/>
      </c>
      <c r="X92" s="133">
        <f t="shared" si="22"/>
        <v>0</v>
      </c>
      <c r="Y92" s="133" t="e">
        <f t="shared" si="23"/>
        <v>#N/A</v>
      </c>
      <c r="Z92" s="133" t="e">
        <f t="shared" si="24"/>
        <v>#N/A</v>
      </c>
      <c r="AA92" s="133">
        <f t="shared" si="25"/>
        <v>0</v>
      </c>
      <c r="AB92" s="133" t="str">
        <f>IF(SUMIFS($R:$R,$H:$H,"Yes",$B:$B,'Client Level Data'!$B92)&gt;0,"CPY Flag","")</f>
        <v/>
      </c>
      <c r="AC92" s="133" t="str">
        <f t="shared" si="26"/>
        <v>N/A</v>
      </c>
      <c r="AD92" s="133">
        <f t="shared" si="27"/>
        <v>200</v>
      </c>
      <c r="AE92" s="133" t="str">
        <f t="shared" si="28"/>
        <v>Child</v>
      </c>
      <c r="AF92" s="133">
        <f t="shared" si="29"/>
        <v>200</v>
      </c>
      <c r="AG92" s="133" t="str">
        <f t="shared" si="30"/>
        <v>True</v>
      </c>
      <c r="AH92" s="133">
        <f t="shared" si="31"/>
        <v>200</v>
      </c>
      <c r="AI92" s="133" t="str">
        <f t="shared" si="32"/>
        <v>False</v>
      </c>
    </row>
    <row r="93" spans="1:35" ht="15.75" customHeight="1" x14ac:dyDescent="0.25">
      <c r="A93" s="8">
        <v>186</v>
      </c>
      <c r="B93" s="9"/>
      <c r="C93" s="9"/>
      <c r="D93" s="10"/>
      <c r="E93" s="156"/>
      <c r="F93" s="9"/>
      <c r="G93" s="9"/>
      <c r="H93" s="9"/>
      <c r="I93" s="9"/>
      <c r="J93" s="9"/>
      <c r="K93" s="148"/>
      <c r="L93" s="148"/>
      <c r="M93" s="148"/>
      <c r="N93" s="148"/>
      <c r="O93" s="112"/>
      <c r="P93" s="113"/>
      <c r="Q93" s="21">
        <f>IF(COUNTIF($B$8:$B93,$B93)=1,1,0)</f>
        <v>0</v>
      </c>
      <c r="R93" s="22">
        <f>IFERROR((COUNTIF($A:$A,'Client Level Data'!$A93))/COUNTIF($B:$B,$B93),0)</f>
        <v>0</v>
      </c>
      <c r="S93" s="22" t="str">
        <f>IF(SUMIFS($R:$R,$J:$J,"Yes",$B:$B,'Client Level Data'!$B93)&gt;0,"Chronic Flag","")</f>
        <v/>
      </c>
      <c r="T93" s="22" t="str">
        <f>IF(SUMIFS($R:$R,$G:$G,"Yes",$B:$B,'Client Level Data'!$B93)&gt;0,"PY Flag","")</f>
        <v/>
      </c>
      <c r="U93" s="22" t="str">
        <f>IF(SUMIFS($R:$R,$D:$D,"&lt;18",$G:$G,"Yes",$B:$B,'Client Level Data'!$B93)&gt;0,"PY &lt;18",IF(SUMIFS($R:$R,$D:$D,"&gt;17",$D:$D,"&lt;25",$G:$G,"Yes",$B:$B,'Client Level Data'!$B93)&gt;0,"PY &gt;17 &lt;25",""))</f>
        <v/>
      </c>
      <c r="V93" s="22">
        <f>IF('Client Level Data'!$K93="Yes",1,0)+IF('Client Level Data'!$L93="Yes",1,0)+IF('Client Level Data'!$M93="Yes",1,0)</f>
        <v>0</v>
      </c>
      <c r="W93" s="21" t="str">
        <f>IF(SUMIFS($R:$R,$F:$F,"Yes",$B:$B,'Client Level Data'!$B93)&gt;0,"Vet Flag","")</f>
        <v/>
      </c>
      <c r="X93" s="12">
        <f t="shared" si="22"/>
        <v>0</v>
      </c>
      <c r="Y93" s="12" t="e">
        <f t="shared" si="23"/>
        <v>#N/A</v>
      </c>
      <c r="Z93" s="12" t="e">
        <f t="shared" si="24"/>
        <v>#N/A</v>
      </c>
      <c r="AA93" s="12">
        <f t="shared" si="25"/>
        <v>0</v>
      </c>
      <c r="AB93" s="12" t="str">
        <f>IF(SUMIFS($R:$R,$H:$H,"Yes",$B:$B,'Client Level Data'!$B93)&gt;0,"CPY Flag","")</f>
        <v/>
      </c>
      <c r="AC93" s="12" t="str">
        <f t="shared" si="26"/>
        <v>N/A</v>
      </c>
      <c r="AD93" s="12">
        <f t="shared" si="27"/>
        <v>200</v>
      </c>
      <c r="AE93" s="12" t="str">
        <f t="shared" si="28"/>
        <v>Child</v>
      </c>
      <c r="AF93" s="12">
        <f t="shared" si="29"/>
        <v>200</v>
      </c>
      <c r="AG93" s="12" t="str">
        <f t="shared" si="30"/>
        <v>True</v>
      </c>
      <c r="AH93" s="12">
        <f t="shared" si="31"/>
        <v>200</v>
      </c>
      <c r="AI93" s="12" t="str">
        <f t="shared" si="32"/>
        <v>False</v>
      </c>
    </row>
    <row r="94" spans="1:35" s="133" customFormat="1" ht="15.75" customHeight="1" x14ac:dyDescent="0.25">
      <c r="A94" s="125">
        <v>187</v>
      </c>
      <c r="B94" s="126"/>
      <c r="C94" s="126"/>
      <c r="D94" s="127"/>
      <c r="E94" s="157"/>
      <c r="F94" s="126"/>
      <c r="G94" s="126"/>
      <c r="H94" s="126"/>
      <c r="I94" s="126"/>
      <c r="J94" s="126"/>
      <c r="K94" s="126"/>
      <c r="L94" s="126"/>
      <c r="M94" s="126"/>
      <c r="N94" s="126"/>
      <c r="O94" s="136"/>
      <c r="P94" s="136"/>
      <c r="Q94" s="132">
        <f>IF(COUNTIF($B$8:$B94,$B94)=1,1,0)</f>
        <v>0</v>
      </c>
      <c r="R94" s="131">
        <f>IFERROR((COUNTIF($A:$A,'Client Level Data'!$A94))/COUNTIF($B:$B,$B94),0)</f>
        <v>0</v>
      </c>
      <c r="S94" s="131" t="str">
        <f>IF(SUMIFS($R:$R,$J:$J,"Yes",$B:$B,'Client Level Data'!$B94)&gt;0,"Chronic Flag","")</f>
        <v/>
      </c>
      <c r="T94" s="131" t="str">
        <f>IF(SUMIFS($R:$R,$G:$G,"Yes",$B:$B,'Client Level Data'!$B94)&gt;0,"PY Flag","")</f>
        <v/>
      </c>
      <c r="U94" s="131" t="str">
        <f>IF(SUMIFS($R:$R,$D:$D,"&lt;18",$G:$G,"Yes",$B:$B,'Client Level Data'!$B94)&gt;0,"PY &lt;18",IF(SUMIFS($R:$R,$D:$D,"&gt;17",$D:$D,"&lt;25",$G:$G,"Yes",$B:$B,'Client Level Data'!$B94)&gt;0,"PY &gt;17 &lt;25",""))</f>
        <v/>
      </c>
      <c r="V94" s="131">
        <f>IF('Client Level Data'!$K94="Yes",1,0)+IF('Client Level Data'!$L94="Yes",1,0)+IF('Client Level Data'!$M94="Yes",1,0)</f>
        <v>0</v>
      </c>
      <c r="W94" s="132" t="str">
        <f>IF(SUMIFS($R:$R,$F:$F,"Yes",$B:$B,'Client Level Data'!$B94)&gt;0,"Vet Flag","")</f>
        <v/>
      </c>
      <c r="X94" s="133">
        <f t="shared" si="22"/>
        <v>0</v>
      </c>
      <c r="Y94" s="133" t="e">
        <f t="shared" si="23"/>
        <v>#N/A</v>
      </c>
      <c r="Z94" s="133" t="e">
        <f t="shared" si="24"/>
        <v>#N/A</v>
      </c>
      <c r="AA94" s="133">
        <f t="shared" si="25"/>
        <v>0</v>
      </c>
      <c r="AB94" s="133" t="str">
        <f>IF(SUMIFS($R:$R,$H:$H,"Yes",$B:$B,'Client Level Data'!$B94)&gt;0,"CPY Flag","")</f>
        <v/>
      </c>
      <c r="AC94" s="133" t="str">
        <f t="shared" si="26"/>
        <v>N/A</v>
      </c>
      <c r="AD94" s="133">
        <f t="shared" si="27"/>
        <v>200</v>
      </c>
      <c r="AE94" s="133" t="str">
        <f t="shared" si="28"/>
        <v>Child</v>
      </c>
      <c r="AF94" s="133">
        <f t="shared" si="29"/>
        <v>200</v>
      </c>
      <c r="AG94" s="133" t="str">
        <f t="shared" si="30"/>
        <v>True</v>
      </c>
      <c r="AH94" s="133">
        <f t="shared" si="31"/>
        <v>200</v>
      </c>
      <c r="AI94" s="133" t="str">
        <f t="shared" si="32"/>
        <v>False</v>
      </c>
    </row>
    <row r="95" spans="1:35" ht="15.75" customHeight="1" x14ac:dyDescent="0.25">
      <c r="A95" s="8">
        <v>188</v>
      </c>
      <c r="B95" s="9"/>
      <c r="C95" s="9"/>
      <c r="D95" s="10"/>
      <c r="E95" s="156"/>
      <c r="F95" s="9"/>
      <c r="G95" s="9"/>
      <c r="H95" s="9"/>
      <c r="I95" s="9"/>
      <c r="J95" s="9"/>
      <c r="K95" s="148"/>
      <c r="L95" s="148"/>
      <c r="M95" s="148"/>
      <c r="N95" s="148"/>
      <c r="O95" s="110"/>
      <c r="P95" s="111"/>
      <c r="Q95" s="109">
        <f>IF(COUNTIF($B$8:$B95,$B95)=1,1,0)</f>
        <v>0</v>
      </c>
      <c r="R95" s="22">
        <f>IFERROR((COUNTIF($A:$A,'Client Level Data'!$A95))/COUNTIF($B:$B,$B95),0)</f>
        <v>0</v>
      </c>
      <c r="S95" s="22" t="str">
        <f>IF(SUMIFS($R:$R,$J:$J,"Yes",$B:$B,'Client Level Data'!$B95)&gt;0,"Chronic Flag","")</f>
        <v/>
      </c>
      <c r="T95" s="22" t="str">
        <f>IF(SUMIFS($R:$R,$G:$G,"Yes",$B:$B,'Client Level Data'!$B95)&gt;0,"PY Flag","")</f>
        <v/>
      </c>
      <c r="U95" s="22" t="str">
        <f>IF(SUMIFS($R:$R,$D:$D,"&lt;18",$G:$G,"Yes",$B:$B,'Client Level Data'!$B95)&gt;0,"PY &lt;18",IF(SUMIFS($R:$R,$D:$D,"&gt;17",$D:$D,"&lt;25",$G:$G,"Yes",$B:$B,'Client Level Data'!$B95)&gt;0,"PY &gt;17 &lt;25",""))</f>
        <v/>
      </c>
      <c r="V95" s="22">
        <f>IF('Client Level Data'!$K95="Yes",1,0)+IF('Client Level Data'!$L95="Yes",1,0)+IF('Client Level Data'!$M95="Yes",1,0)</f>
        <v>0</v>
      </c>
      <c r="W95" s="21" t="str">
        <f>IF(SUMIFS($R:$R,$F:$F,"Yes",$B:$B,'Client Level Data'!$B95)&gt;0,"Vet Flag","")</f>
        <v/>
      </c>
      <c r="X95" s="12">
        <f t="shared" si="22"/>
        <v>0</v>
      </c>
      <c r="Y95" s="12" t="e">
        <f t="shared" si="23"/>
        <v>#N/A</v>
      </c>
      <c r="Z95" s="12" t="e">
        <f t="shared" si="24"/>
        <v>#N/A</v>
      </c>
      <c r="AA95" s="12">
        <f t="shared" si="25"/>
        <v>0</v>
      </c>
      <c r="AB95" s="12" t="str">
        <f>IF(SUMIFS($R:$R,$H:$H,"Yes",$B:$B,'Client Level Data'!$B95)&gt;0,"CPY Flag","")</f>
        <v/>
      </c>
      <c r="AC95" s="12" t="str">
        <f t="shared" si="26"/>
        <v>N/A</v>
      </c>
      <c r="AD95" s="12">
        <f t="shared" si="27"/>
        <v>200</v>
      </c>
      <c r="AE95" s="12" t="str">
        <f t="shared" si="28"/>
        <v>Child</v>
      </c>
      <c r="AF95" s="12">
        <f t="shared" si="29"/>
        <v>200</v>
      </c>
      <c r="AG95" s="12" t="str">
        <f t="shared" si="30"/>
        <v>True</v>
      </c>
      <c r="AH95" s="12">
        <f t="shared" si="31"/>
        <v>200</v>
      </c>
      <c r="AI95" s="12" t="str">
        <f t="shared" si="32"/>
        <v>False</v>
      </c>
    </row>
    <row r="96" spans="1:35" s="133" customFormat="1" ht="15.75" customHeight="1" x14ac:dyDescent="0.25">
      <c r="A96" s="125">
        <v>189</v>
      </c>
      <c r="B96" s="126"/>
      <c r="C96" s="126"/>
      <c r="D96" s="127"/>
      <c r="E96" s="157"/>
      <c r="F96" s="126"/>
      <c r="G96" s="126"/>
      <c r="H96" s="126"/>
      <c r="I96" s="126"/>
      <c r="J96" s="126"/>
      <c r="K96" s="126"/>
      <c r="L96" s="126"/>
      <c r="M96" s="126"/>
      <c r="N96" s="126"/>
      <c r="O96" s="136"/>
      <c r="P96" s="136"/>
      <c r="Q96" s="132">
        <f>IF(COUNTIF($B$8:$B96,$B96)=1,1,0)</f>
        <v>0</v>
      </c>
      <c r="R96" s="131">
        <f>IFERROR((COUNTIF($A:$A,'Client Level Data'!$A96))/COUNTIF($B:$B,$B96),0)</f>
        <v>0</v>
      </c>
      <c r="S96" s="131" t="str">
        <f>IF(SUMIFS($R:$R,$J:$J,"Yes",$B:$B,'Client Level Data'!$B96)&gt;0,"Chronic Flag","")</f>
        <v/>
      </c>
      <c r="T96" s="131" t="str">
        <f>IF(SUMIFS($R:$R,$G:$G,"Yes",$B:$B,'Client Level Data'!$B96)&gt;0,"PY Flag","")</f>
        <v/>
      </c>
      <c r="U96" s="131" t="str">
        <f>IF(SUMIFS($R:$R,$D:$D,"&lt;18",$G:$G,"Yes",$B:$B,'Client Level Data'!$B96)&gt;0,"PY &lt;18",IF(SUMIFS($R:$R,$D:$D,"&gt;17",$D:$D,"&lt;25",$G:$G,"Yes",$B:$B,'Client Level Data'!$B96)&gt;0,"PY &gt;17 &lt;25",""))</f>
        <v/>
      </c>
      <c r="V96" s="131">
        <f>IF('Client Level Data'!$K96="Yes",1,0)+IF('Client Level Data'!$L96="Yes",1,0)+IF('Client Level Data'!$M96="Yes",1,0)</f>
        <v>0</v>
      </c>
      <c r="W96" s="132" t="str">
        <f>IF(SUMIFS($R:$R,$F:$F,"Yes",$B:$B,'Client Level Data'!$B96)&gt;0,"Vet Flag","")</f>
        <v/>
      </c>
      <c r="X96" s="133">
        <f t="shared" si="22"/>
        <v>0</v>
      </c>
      <c r="Y96" s="133" t="e">
        <f t="shared" si="23"/>
        <v>#N/A</v>
      </c>
      <c r="Z96" s="133" t="e">
        <f t="shared" si="24"/>
        <v>#N/A</v>
      </c>
      <c r="AA96" s="133">
        <f t="shared" si="25"/>
        <v>0</v>
      </c>
      <c r="AB96" s="133" t="str">
        <f>IF(SUMIFS($R:$R,$H:$H,"Yes",$B:$B,'Client Level Data'!$B96)&gt;0,"CPY Flag","")</f>
        <v/>
      </c>
      <c r="AC96" s="133" t="str">
        <f t="shared" si="26"/>
        <v>N/A</v>
      </c>
      <c r="AD96" s="133">
        <f t="shared" si="27"/>
        <v>200</v>
      </c>
      <c r="AE96" s="133" t="str">
        <f t="shared" si="28"/>
        <v>Child</v>
      </c>
      <c r="AF96" s="133">
        <f t="shared" si="29"/>
        <v>200</v>
      </c>
      <c r="AG96" s="133" t="str">
        <f t="shared" si="30"/>
        <v>True</v>
      </c>
      <c r="AH96" s="133">
        <f t="shared" si="31"/>
        <v>200</v>
      </c>
      <c r="AI96" s="133" t="str">
        <f t="shared" si="32"/>
        <v>False</v>
      </c>
    </row>
    <row r="97" spans="1:35" ht="15.75" customHeight="1" x14ac:dyDescent="0.25">
      <c r="A97" s="8">
        <v>190</v>
      </c>
      <c r="B97" s="9"/>
      <c r="C97" s="9"/>
      <c r="D97" s="10"/>
      <c r="E97" s="156"/>
      <c r="F97" s="9"/>
      <c r="G97" s="9"/>
      <c r="H97" s="9"/>
      <c r="I97" s="9"/>
      <c r="J97" s="9"/>
      <c r="K97" s="148"/>
      <c r="L97" s="148"/>
      <c r="M97" s="148"/>
      <c r="N97" s="148"/>
      <c r="O97" s="110"/>
      <c r="P97" s="111"/>
      <c r="Q97" s="109">
        <f>IF(COUNTIF($B$8:$B97,$B97)=1,1,0)</f>
        <v>0</v>
      </c>
      <c r="R97" s="22">
        <f>IFERROR((COUNTIF($A:$A,'Client Level Data'!$A97))/COUNTIF($B:$B,$B97),0)</f>
        <v>0</v>
      </c>
      <c r="S97" s="22" t="str">
        <f>IF(SUMIFS($R:$R,$J:$J,"Yes",$B:$B,'Client Level Data'!$B97)&gt;0,"Chronic Flag","")</f>
        <v/>
      </c>
      <c r="T97" s="22" t="str">
        <f>IF(SUMIFS($R:$R,$G:$G,"Yes",$B:$B,'Client Level Data'!$B97)&gt;0,"PY Flag","")</f>
        <v/>
      </c>
      <c r="U97" s="22" t="str">
        <f>IF(SUMIFS($R:$R,$D:$D,"&lt;18",$G:$G,"Yes",$B:$B,'Client Level Data'!$B97)&gt;0,"PY &lt;18",IF(SUMIFS($R:$R,$D:$D,"&gt;17",$D:$D,"&lt;25",$G:$G,"Yes",$B:$B,'Client Level Data'!$B97)&gt;0,"PY &gt;17 &lt;25",""))</f>
        <v/>
      </c>
      <c r="V97" s="22">
        <f>IF('Client Level Data'!$K97="Yes",1,0)+IF('Client Level Data'!$L97="Yes",1,0)+IF('Client Level Data'!$M97="Yes",1,0)</f>
        <v>0</v>
      </c>
      <c r="W97" s="21" t="str">
        <f>IF(SUMIFS($R:$R,$F:$F,"Yes",$B:$B,'Client Level Data'!$B97)&gt;0,"Vet Flag","")</f>
        <v/>
      </c>
      <c r="X97" s="12">
        <f t="shared" si="22"/>
        <v>0</v>
      </c>
      <c r="Y97" s="12" t="e">
        <f t="shared" si="23"/>
        <v>#N/A</v>
      </c>
      <c r="Z97" s="12" t="e">
        <f t="shared" si="24"/>
        <v>#N/A</v>
      </c>
      <c r="AA97" s="12">
        <f t="shared" si="25"/>
        <v>0</v>
      </c>
      <c r="AB97" s="12" t="str">
        <f>IF(SUMIFS($R:$R,$H:$H,"Yes",$B:$B,'Client Level Data'!$B97)&gt;0,"CPY Flag","")</f>
        <v/>
      </c>
      <c r="AC97" s="12" t="str">
        <f t="shared" si="26"/>
        <v>N/A</v>
      </c>
      <c r="AD97" s="12">
        <f t="shared" si="27"/>
        <v>200</v>
      </c>
      <c r="AE97" s="12" t="str">
        <f t="shared" si="28"/>
        <v>Child</v>
      </c>
      <c r="AF97" s="12">
        <f t="shared" si="29"/>
        <v>200</v>
      </c>
      <c r="AG97" s="12" t="str">
        <f t="shared" si="30"/>
        <v>True</v>
      </c>
      <c r="AH97" s="12">
        <f t="shared" si="31"/>
        <v>200</v>
      </c>
      <c r="AI97" s="12" t="str">
        <f t="shared" si="32"/>
        <v>False</v>
      </c>
    </row>
    <row r="98" spans="1:35" s="133" customFormat="1" ht="15.75" customHeight="1" x14ac:dyDescent="0.25">
      <c r="A98" s="125">
        <v>191</v>
      </c>
      <c r="B98" s="126"/>
      <c r="C98" s="126"/>
      <c r="D98" s="127"/>
      <c r="E98" s="157"/>
      <c r="F98" s="126"/>
      <c r="G98" s="126"/>
      <c r="H98" s="126"/>
      <c r="I98" s="126"/>
      <c r="J98" s="126"/>
      <c r="K98" s="126"/>
      <c r="L98" s="126"/>
      <c r="M98" s="126"/>
      <c r="N98" s="126"/>
      <c r="O98" s="134"/>
      <c r="P98" s="135"/>
      <c r="Q98" s="132">
        <f>IF(COUNTIF($B$8:$B98,$B98)=1,1,0)</f>
        <v>0</v>
      </c>
      <c r="R98" s="131">
        <f>IFERROR((COUNTIF($A:$A,'Client Level Data'!$A98))/COUNTIF($B:$B,$B98),0)</f>
        <v>0</v>
      </c>
      <c r="S98" s="131" t="str">
        <f>IF(SUMIFS($R:$R,$J:$J,"Yes",$B:$B,'Client Level Data'!$B98)&gt;0,"Chronic Flag","")</f>
        <v/>
      </c>
      <c r="T98" s="131" t="str">
        <f>IF(SUMIFS($R:$R,$G:$G,"Yes",$B:$B,'Client Level Data'!$B98)&gt;0,"PY Flag","")</f>
        <v/>
      </c>
      <c r="U98" s="131" t="str">
        <f>IF(SUMIFS($R:$R,$D:$D,"&lt;18",$G:$G,"Yes",$B:$B,'Client Level Data'!$B98)&gt;0,"PY &lt;18",IF(SUMIFS($R:$R,$D:$D,"&gt;17",$D:$D,"&lt;25",$G:$G,"Yes",$B:$B,'Client Level Data'!$B98)&gt;0,"PY &gt;17 &lt;25",""))</f>
        <v/>
      </c>
      <c r="V98" s="131">
        <f>IF('Client Level Data'!$K98="Yes",1,0)+IF('Client Level Data'!$L98="Yes",1,0)+IF('Client Level Data'!$M98="Yes",1,0)</f>
        <v>0</v>
      </c>
      <c r="W98" s="132" t="str">
        <f>IF(SUMIFS($R:$R,$F:$F,"Yes",$B:$B,'Client Level Data'!$B98)&gt;0,"Vet Flag","")</f>
        <v/>
      </c>
      <c r="X98" s="133">
        <f t="shared" si="22"/>
        <v>0</v>
      </c>
      <c r="Y98" s="133" t="e">
        <f t="shared" si="23"/>
        <v>#N/A</v>
      </c>
      <c r="Z98" s="133" t="e">
        <f t="shared" si="24"/>
        <v>#N/A</v>
      </c>
      <c r="AA98" s="133">
        <f t="shared" si="25"/>
        <v>0</v>
      </c>
      <c r="AB98" s="133" t="str">
        <f>IF(SUMIFS($R:$R,$H:$H,"Yes",$B:$B,'Client Level Data'!$B98)&gt;0,"CPY Flag","")</f>
        <v/>
      </c>
      <c r="AC98" s="133" t="str">
        <f t="shared" si="26"/>
        <v>N/A</v>
      </c>
      <c r="AD98" s="133">
        <f t="shared" si="27"/>
        <v>200</v>
      </c>
      <c r="AE98" s="133" t="str">
        <f t="shared" si="28"/>
        <v>Child</v>
      </c>
      <c r="AF98" s="133">
        <f t="shared" si="29"/>
        <v>200</v>
      </c>
      <c r="AG98" s="133" t="str">
        <f t="shared" si="30"/>
        <v>True</v>
      </c>
      <c r="AH98" s="133">
        <f t="shared" si="31"/>
        <v>200</v>
      </c>
      <c r="AI98" s="133" t="str">
        <f t="shared" si="32"/>
        <v>False</v>
      </c>
    </row>
    <row r="99" spans="1:35" ht="15.75" customHeight="1" x14ac:dyDescent="0.25">
      <c r="A99" s="8">
        <v>192</v>
      </c>
      <c r="B99" s="9"/>
      <c r="C99" s="9"/>
      <c r="D99" s="10"/>
      <c r="E99" s="156"/>
      <c r="F99" s="9"/>
      <c r="G99" s="9"/>
      <c r="H99" s="9"/>
      <c r="I99" s="9"/>
      <c r="J99" s="9"/>
      <c r="K99" s="148"/>
      <c r="L99" s="148"/>
      <c r="M99" s="148"/>
      <c r="N99" s="148"/>
      <c r="O99" s="112"/>
      <c r="P99" s="113"/>
      <c r="Q99" s="21">
        <f>IF(COUNTIF($B$8:$B99,$B99)=1,1,0)</f>
        <v>0</v>
      </c>
      <c r="R99" s="22">
        <f>IFERROR((COUNTIF($A:$A,'Client Level Data'!$A99))/COUNTIF($B:$B,$B99),0)</f>
        <v>0</v>
      </c>
      <c r="S99" s="22" t="str">
        <f>IF(SUMIFS($R:$R,$J:$J,"Yes",$B:$B,'Client Level Data'!$B99)&gt;0,"Chronic Flag","")</f>
        <v/>
      </c>
      <c r="T99" s="22" t="str">
        <f>IF(SUMIFS($R:$R,$G:$G,"Yes",$B:$B,'Client Level Data'!$B99)&gt;0,"PY Flag","")</f>
        <v/>
      </c>
      <c r="U99" s="22" t="str">
        <f>IF(SUMIFS($R:$R,$D:$D,"&lt;18",$G:$G,"Yes",$B:$B,'Client Level Data'!$B99)&gt;0,"PY &lt;18",IF(SUMIFS($R:$R,$D:$D,"&gt;17",$D:$D,"&lt;25",$G:$G,"Yes",$B:$B,'Client Level Data'!$B99)&gt;0,"PY &gt;17 &lt;25",""))</f>
        <v/>
      </c>
      <c r="V99" s="22">
        <f>IF('Client Level Data'!$K99="Yes",1,0)+IF('Client Level Data'!$L99="Yes",1,0)+IF('Client Level Data'!$M99="Yes",1,0)</f>
        <v>0</v>
      </c>
      <c r="W99" s="21" t="str">
        <f>IF(SUMIFS($R:$R,$F:$F,"Yes",$B:$B,'Client Level Data'!$B99)&gt;0,"Vet Flag","")</f>
        <v/>
      </c>
      <c r="X99" s="12">
        <f t="shared" si="22"/>
        <v>0</v>
      </c>
      <c r="Y99" s="12" t="e">
        <f t="shared" si="23"/>
        <v>#N/A</v>
      </c>
      <c r="Z99" s="12" t="e">
        <f t="shared" si="24"/>
        <v>#N/A</v>
      </c>
      <c r="AA99" s="12">
        <f t="shared" si="25"/>
        <v>0</v>
      </c>
      <c r="AB99" s="12" t="str">
        <f>IF(SUMIFS($R:$R,$H:$H,"Yes",$B:$B,'Client Level Data'!$B99)&gt;0,"CPY Flag","")</f>
        <v/>
      </c>
      <c r="AC99" s="12" t="str">
        <f t="shared" si="26"/>
        <v>N/A</v>
      </c>
      <c r="AD99" s="12">
        <f t="shared" si="27"/>
        <v>200</v>
      </c>
      <c r="AE99" s="12" t="str">
        <f t="shared" si="28"/>
        <v>Child</v>
      </c>
      <c r="AF99" s="12">
        <f t="shared" si="29"/>
        <v>200</v>
      </c>
      <c r="AG99" s="12" t="str">
        <f t="shared" si="30"/>
        <v>True</v>
      </c>
      <c r="AH99" s="12">
        <f t="shared" si="31"/>
        <v>200</v>
      </c>
      <c r="AI99" s="12" t="str">
        <f t="shared" si="32"/>
        <v>False</v>
      </c>
    </row>
    <row r="100" spans="1:35" s="133" customFormat="1" ht="15.75" customHeight="1" x14ac:dyDescent="0.25">
      <c r="A100" s="125">
        <v>193</v>
      </c>
      <c r="B100" s="126"/>
      <c r="C100" s="126"/>
      <c r="D100" s="127"/>
      <c r="E100" s="157"/>
      <c r="F100" s="126"/>
      <c r="G100" s="126"/>
      <c r="H100" s="126"/>
      <c r="I100" s="126"/>
      <c r="J100" s="126"/>
      <c r="K100" s="126"/>
      <c r="L100" s="126"/>
      <c r="M100" s="126"/>
      <c r="N100" s="126"/>
      <c r="O100" s="134"/>
      <c r="P100" s="135"/>
      <c r="Q100" s="132">
        <f>IF(COUNTIF($B$8:$B100,$B100)=1,1,0)</f>
        <v>0</v>
      </c>
      <c r="R100" s="131">
        <f>IFERROR((COUNTIF($A:$A,'Client Level Data'!$A100))/COUNTIF($B:$B,$B100),0)</f>
        <v>0</v>
      </c>
      <c r="S100" s="131" t="str">
        <f>IF(SUMIFS($R:$R,$J:$J,"Yes",$B:$B,'Client Level Data'!$B100)&gt;0,"Chronic Flag","")</f>
        <v/>
      </c>
      <c r="T100" s="131" t="str">
        <f>IF(SUMIFS($R:$R,$G:$G,"Yes",$B:$B,'Client Level Data'!$B100)&gt;0,"PY Flag","")</f>
        <v/>
      </c>
      <c r="U100" s="131" t="str">
        <f>IF(SUMIFS($R:$R,$D:$D,"&lt;18",$G:$G,"Yes",$B:$B,'Client Level Data'!$B100)&gt;0,"PY &lt;18",IF(SUMIFS($R:$R,$D:$D,"&gt;17",$D:$D,"&lt;25",$G:$G,"Yes",$B:$B,'Client Level Data'!$B100)&gt;0,"PY &gt;17 &lt;25",""))</f>
        <v/>
      </c>
      <c r="V100" s="131">
        <f>IF('Client Level Data'!$K100="Yes",1,0)+IF('Client Level Data'!$L100="Yes",1,0)+IF('Client Level Data'!$M100="Yes",1,0)</f>
        <v>0</v>
      </c>
      <c r="W100" s="132" t="str">
        <f>IF(SUMIFS($R:$R,$F:$F,"Yes",$B:$B,'Client Level Data'!$B100)&gt;0,"Vet Flag","")</f>
        <v/>
      </c>
      <c r="X100" s="133">
        <f t="shared" si="22"/>
        <v>0</v>
      </c>
      <c r="Y100" s="133" t="e">
        <f t="shared" si="23"/>
        <v>#N/A</v>
      </c>
      <c r="Z100" s="133" t="e">
        <f t="shared" si="24"/>
        <v>#N/A</v>
      </c>
      <c r="AA100" s="133">
        <f t="shared" si="25"/>
        <v>0</v>
      </c>
      <c r="AB100" s="133" t="str">
        <f>IF(SUMIFS($R:$R,$H:$H,"Yes",$B:$B,'Client Level Data'!$B100)&gt;0,"CPY Flag","")</f>
        <v/>
      </c>
      <c r="AC100" s="133" t="str">
        <f t="shared" si="26"/>
        <v>N/A</v>
      </c>
      <c r="AD100" s="133">
        <f t="shared" si="27"/>
        <v>200</v>
      </c>
      <c r="AE100" s="133" t="str">
        <f t="shared" si="28"/>
        <v>Child</v>
      </c>
      <c r="AF100" s="133">
        <f t="shared" si="29"/>
        <v>200</v>
      </c>
      <c r="AG100" s="133" t="str">
        <f t="shared" si="30"/>
        <v>True</v>
      </c>
      <c r="AH100" s="133">
        <f t="shared" si="31"/>
        <v>200</v>
      </c>
      <c r="AI100" s="133" t="str">
        <f t="shared" si="32"/>
        <v>False</v>
      </c>
    </row>
    <row r="101" spans="1:35" ht="15.75" customHeight="1" x14ac:dyDescent="0.25">
      <c r="A101" s="8">
        <v>194</v>
      </c>
      <c r="B101" s="9"/>
      <c r="C101" s="9"/>
      <c r="D101" s="10"/>
      <c r="E101" s="156"/>
      <c r="F101" s="9"/>
      <c r="G101" s="9"/>
      <c r="H101" s="9"/>
      <c r="I101" s="9"/>
      <c r="J101" s="9"/>
      <c r="K101" s="148"/>
      <c r="L101" s="148"/>
      <c r="M101" s="148"/>
      <c r="N101" s="148"/>
      <c r="O101" s="11"/>
      <c r="P101" s="11"/>
      <c r="Q101" s="21">
        <f>IF(COUNTIF($B$8:$B101,$B101)=1,1,0)</f>
        <v>0</v>
      </c>
      <c r="R101" s="22">
        <f>IFERROR((COUNTIF($A:$A,'Client Level Data'!$A101))/COUNTIF($B:$B,$B101),0)</f>
        <v>0</v>
      </c>
      <c r="S101" s="22" t="str">
        <f>IF(SUMIFS($R:$R,$J:$J,"Yes",$B:$B,'Client Level Data'!$B101)&gt;0,"Chronic Flag","")</f>
        <v/>
      </c>
      <c r="T101" s="22" t="str">
        <f>IF(SUMIFS($R:$R,$G:$G,"Yes",$B:$B,'Client Level Data'!$B101)&gt;0,"PY Flag","")</f>
        <v/>
      </c>
      <c r="U101" s="22" t="str">
        <f>IF(SUMIFS($R:$R,$D:$D,"&lt;18",$G:$G,"Yes",$B:$B,'Client Level Data'!$B101)&gt;0,"PY &lt;18",IF(SUMIFS($R:$R,$D:$D,"&gt;17",$D:$D,"&lt;25",$G:$G,"Yes",$B:$B,'Client Level Data'!$B101)&gt;0,"PY &gt;17 &lt;25",""))</f>
        <v/>
      </c>
      <c r="V101" s="22">
        <f>IF('Client Level Data'!$K101="Yes",1,0)+IF('Client Level Data'!$L101="Yes",1,0)+IF('Client Level Data'!$M101="Yes",1,0)</f>
        <v>0</v>
      </c>
      <c r="W101" s="21" t="str">
        <f>IF(SUMIFS($R:$R,$F:$F,"Yes",$B:$B,'Client Level Data'!$B101)&gt;0,"Vet Flag","")</f>
        <v/>
      </c>
      <c r="X101" s="12">
        <f t="shared" si="22"/>
        <v>0</v>
      </c>
      <c r="Y101" s="12" t="e">
        <f t="shared" si="23"/>
        <v>#N/A</v>
      </c>
      <c r="Z101" s="12" t="e">
        <f t="shared" si="24"/>
        <v>#N/A</v>
      </c>
      <c r="AA101" s="12">
        <f t="shared" si="25"/>
        <v>0</v>
      </c>
      <c r="AB101" s="12" t="str">
        <f>IF(SUMIFS($R:$R,$H:$H,"Yes",$B:$B,'Client Level Data'!$B101)&gt;0,"CPY Flag","")</f>
        <v/>
      </c>
      <c r="AC101" s="12" t="str">
        <f t="shared" si="26"/>
        <v>N/A</v>
      </c>
      <c r="AD101" s="12">
        <f t="shared" si="27"/>
        <v>200</v>
      </c>
      <c r="AE101" s="12" t="str">
        <f t="shared" si="28"/>
        <v>Child</v>
      </c>
      <c r="AF101" s="12">
        <f t="shared" si="29"/>
        <v>200</v>
      </c>
      <c r="AG101" s="12" t="str">
        <f t="shared" si="30"/>
        <v>True</v>
      </c>
      <c r="AH101" s="12">
        <f t="shared" si="31"/>
        <v>200</v>
      </c>
      <c r="AI101" s="12" t="str">
        <f t="shared" si="32"/>
        <v>False</v>
      </c>
    </row>
    <row r="102" spans="1:35" s="133" customFormat="1" ht="15.75" customHeight="1" x14ac:dyDescent="0.25">
      <c r="A102" s="125">
        <v>195</v>
      </c>
      <c r="B102" s="126"/>
      <c r="C102" s="126"/>
      <c r="D102" s="127"/>
      <c r="E102" s="157"/>
      <c r="F102" s="126"/>
      <c r="G102" s="126"/>
      <c r="H102" s="126"/>
      <c r="I102" s="126"/>
      <c r="J102" s="126"/>
      <c r="K102" s="126"/>
      <c r="L102" s="126"/>
      <c r="M102" s="126"/>
      <c r="N102" s="126"/>
      <c r="O102" s="128"/>
      <c r="P102" s="129"/>
      <c r="Q102" s="130">
        <f>IF(COUNTIF($B$8:$B102,$B102)=1,1,0)</f>
        <v>0</v>
      </c>
      <c r="R102" s="131">
        <f>IFERROR((COUNTIF($A:$A,'Client Level Data'!$A102))/COUNTIF($B:$B,$B102),0)</f>
        <v>0</v>
      </c>
      <c r="S102" s="131" t="str">
        <f>IF(SUMIFS($R:$R,$J:$J,"Yes",$B:$B,'Client Level Data'!$B102)&gt;0,"Chronic Flag","")</f>
        <v/>
      </c>
      <c r="T102" s="131" t="str">
        <f>IF(SUMIFS($R:$R,$G:$G,"Yes",$B:$B,'Client Level Data'!$B102)&gt;0,"PY Flag","")</f>
        <v/>
      </c>
      <c r="U102" s="131" t="str">
        <f>IF(SUMIFS($R:$R,$D:$D,"&lt;18",$G:$G,"Yes",$B:$B,'Client Level Data'!$B102)&gt;0,"PY &lt;18",IF(SUMIFS($R:$R,$D:$D,"&gt;17",$D:$D,"&lt;25",$G:$G,"Yes",$B:$B,'Client Level Data'!$B102)&gt;0,"PY &gt;17 &lt;25",""))</f>
        <v/>
      </c>
      <c r="V102" s="131">
        <f>IF('Client Level Data'!$K102="Yes",1,0)+IF('Client Level Data'!$L102="Yes",1,0)+IF('Client Level Data'!$M102="Yes",1,0)</f>
        <v>0</v>
      </c>
      <c r="W102" s="132" t="str">
        <f>IF(SUMIFS($R:$R,$F:$F,"Yes",$B:$B,'Client Level Data'!$B102)&gt;0,"Vet Flag","")</f>
        <v/>
      </c>
      <c r="X102" s="133">
        <f t="shared" si="22"/>
        <v>0</v>
      </c>
      <c r="Y102" s="133" t="e">
        <f t="shared" si="23"/>
        <v>#N/A</v>
      </c>
      <c r="Z102" s="133" t="e">
        <f t="shared" si="24"/>
        <v>#N/A</v>
      </c>
      <c r="AA102" s="133">
        <f t="shared" si="25"/>
        <v>0</v>
      </c>
      <c r="AB102" s="133" t="str">
        <f>IF(SUMIFS($R:$R,$H:$H,"Yes",$B:$B,'Client Level Data'!$B102)&gt;0,"CPY Flag","")</f>
        <v/>
      </c>
      <c r="AC102" s="133" t="str">
        <f t="shared" si="26"/>
        <v>N/A</v>
      </c>
      <c r="AD102" s="133">
        <f t="shared" si="27"/>
        <v>200</v>
      </c>
      <c r="AE102" s="133" t="str">
        <f t="shared" si="28"/>
        <v>Child</v>
      </c>
      <c r="AF102" s="133">
        <f t="shared" si="29"/>
        <v>200</v>
      </c>
      <c r="AG102" s="133" t="str">
        <f t="shared" si="30"/>
        <v>True</v>
      </c>
      <c r="AH102" s="133">
        <f t="shared" si="31"/>
        <v>200</v>
      </c>
      <c r="AI102" s="133" t="str">
        <f t="shared" si="32"/>
        <v>False</v>
      </c>
    </row>
    <row r="103" spans="1:35" ht="15.75" customHeight="1" x14ac:dyDescent="0.25">
      <c r="A103" s="8">
        <v>196</v>
      </c>
      <c r="B103" s="9"/>
      <c r="C103" s="9"/>
      <c r="D103" s="10"/>
      <c r="E103" s="156"/>
      <c r="F103" s="9"/>
      <c r="G103" s="9"/>
      <c r="H103" s="9"/>
      <c r="I103" s="9"/>
      <c r="J103" s="9"/>
      <c r="K103" s="148"/>
      <c r="L103" s="148"/>
      <c r="M103" s="148"/>
      <c r="N103" s="148"/>
      <c r="O103" s="110"/>
      <c r="P103" s="111"/>
      <c r="Q103" s="109">
        <f>IF(COUNTIF($B$8:$B103,$B103)=1,1,0)</f>
        <v>0</v>
      </c>
      <c r="R103" s="22">
        <f>IFERROR((COUNTIF($A:$A,'Client Level Data'!$A103))/COUNTIF($B:$B,$B103),0)</f>
        <v>0</v>
      </c>
      <c r="S103" s="22" t="str">
        <f>IF(SUMIFS($R:$R,$J:$J,"Yes",$B:$B,'Client Level Data'!$B103)&gt;0,"Chronic Flag","")</f>
        <v/>
      </c>
      <c r="T103" s="22" t="str">
        <f>IF(SUMIFS($R:$R,$G:$G,"Yes",$B:$B,'Client Level Data'!$B103)&gt;0,"PY Flag","")</f>
        <v/>
      </c>
      <c r="U103" s="22" t="str">
        <f>IF(SUMIFS($R:$R,$D:$D,"&lt;18",$G:$G,"Yes",$B:$B,'Client Level Data'!$B103)&gt;0,"PY &lt;18",IF(SUMIFS($R:$R,$D:$D,"&gt;17",$D:$D,"&lt;25",$G:$G,"Yes",$B:$B,'Client Level Data'!$B103)&gt;0,"PY &gt;17 &lt;25",""))</f>
        <v/>
      </c>
      <c r="V103" s="22">
        <f>IF('Client Level Data'!$K103="Yes",1,0)+IF('Client Level Data'!$L103="Yes",1,0)+IF('Client Level Data'!$M103="Yes",1,0)</f>
        <v>0</v>
      </c>
      <c r="W103" s="21" t="str">
        <f>IF(SUMIFS($R:$R,$F:$F,"Yes",$B:$B,'Client Level Data'!$B103)&gt;0,"Vet Flag","")</f>
        <v/>
      </c>
      <c r="X103" s="12">
        <f t="shared" si="22"/>
        <v>0</v>
      </c>
      <c r="Y103" s="12" t="e">
        <f t="shared" si="23"/>
        <v>#N/A</v>
      </c>
      <c r="Z103" s="12" t="e">
        <f t="shared" si="24"/>
        <v>#N/A</v>
      </c>
      <c r="AA103" s="12">
        <f t="shared" si="25"/>
        <v>0</v>
      </c>
      <c r="AB103" s="12" t="str">
        <f>IF(SUMIFS($R:$R,$H:$H,"Yes",$B:$B,'Client Level Data'!$B103)&gt;0,"CPY Flag","")</f>
        <v/>
      </c>
      <c r="AC103" s="12" t="str">
        <f t="shared" si="26"/>
        <v>N/A</v>
      </c>
      <c r="AD103" s="12">
        <f t="shared" si="27"/>
        <v>200</v>
      </c>
      <c r="AE103" s="12" t="str">
        <f t="shared" si="28"/>
        <v>Child</v>
      </c>
      <c r="AF103" s="12">
        <f t="shared" si="29"/>
        <v>200</v>
      </c>
      <c r="AG103" s="12" t="str">
        <f t="shared" si="30"/>
        <v>True</v>
      </c>
      <c r="AH103" s="12">
        <f t="shared" si="31"/>
        <v>200</v>
      </c>
      <c r="AI103" s="12" t="str">
        <f t="shared" si="32"/>
        <v>False</v>
      </c>
    </row>
    <row r="104" spans="1:35" s="133" customFormat="1" ht="15.75" customHeight="1" x14ac:dyDescent="0.25">
      <c r="A104" s="125">
        <v>197</v>
      </c>
      <c r="B104" s="126"/>
      <c r="C104" s="126"/>
      <c r="D104" s="127"/>
      <c r="E104" s="157"/>
      <c r="F104" s="126"/>
      <c r="G104" s="126"/>
      <c r="H104" s="126"/>
      <c r="I104" s="126"/>
      <c r="J104" s="126"/>
      <c r="K104" s="126"/>
      <c r="L104" s="126"/>
      <c r="M104" s="126"/>
      <c r="N104" s="126"/>
      <c r="O104" s="147"/>
      <c r="P104" s="129"/>
      <c r="Q104" s="130">
        <f>IF(COUNTIF($B$8:$B104,$B104)=1,1,0)</f>
        <v>0</v>
      </c>
      <c r="R104" s="131">
        <f>IFERROR((COUNTIF($A:$A,'Client Level Data'!$A104))/COUNTIF($B:$B,$B104),0)</f>
        <v>0</v>
      </c>
      <c r="S104" s="131" t="str">
        <f>IF(SUMIFS($R:$R,$J:$J,"Yes",$B:$B,'Client Level Data'!$B104)&gt;0,"Chronic Flag","")</f>
        <v/>
      </c>
      <c r="T104" s="131" t="str">
        <f>IF(SUMIFS($R:$R,$G:$G,"Yes",$B:$B,'Client Level Data'!$B104)&gt;0,"PY Flag","")</f>
        <v/>
      </c>
      <c r="U104" s="131" t="str">
        <f>IF(SUMIFS($R:$R,$D:$D,"&lt;18",$G:$G,"Yes",$B:$B,'Client Level Data'!$B104)&gt;0,"PY &lt;18",IF(SUMIFS($R:$R,$D:$D,"&gt;17",$D:$D,"&lt;25",$G:$G,"Yes",$B:$B,'Client Level Data'!$B104)&gt;0,"PY &gt;17 &lt;25",""))</f>
        <v/>
      </c>
      <c r="V104" s="131">
        <f>IF('Client Level Data'!$K104="Yes",1,0)+IF('Client Level Data'!$L104="Yes",1,0)+IF('Client Level Data'!$M104="Yes",1,0)</f>
        <v>0</v>
      </c>
      <c r="W104" s="132" t="str">
        <f>IF(SUMIFS($R:$R,$F:$F,"Yes",$B:$B,'Client Level Data'!$B104)&gt;0,"Vet Flag","")</f>
        <v/>
      </c>
      <c r="X104" s="133">
        <f t="shared" ref="X104:X135" si="33">IF(R104&lt;1, B104, "Single")</f>
        <v>0</v>
      </c>
      <c r="Y104" s="133" t="e">
        <f t="shared" ref="Y104:Y135" si="34">IF(X104="Single", "Single", INDEX(C:C, MATCH(X104, B:B, 0)))</f>
        <v>#N/A</v>
      </c>
      <c r="Z104" s="133" t="e">
        <f t="shared" ref="Z104:Z135" si="35">IF(AND(NOT(ISBLANK(C104)), C104=Y104, R104&lt;1), "Yes", IF(Y104="Single", "N/A", "No"))</f>
        <v>#N/A</v>
      </c>
      <c r="AA104" s="133">
        <f t="shared" ref="AA104:AA135" si="36">COUNTIFS(X:X, X104, Z:Z, "No")</f>
        <v>0</v>
      </c>
      <c r="AB104" s="133" t="str">
        <f>IF(SUMIFS($R:$R,$H:$H,"Yes",$B:$B,'Client Level Data'!$B104)&gt;0,"CPY Flag","")</f>
        <v/>
      </c>
      <c r="AC104" s="133" t="str">
        <f t="shared" ref="AC104:AC135" si="37">IF(AND(T104="PY Flag",AB104="CPY Flag"),"Yes",IF(AND(T104="",AB104=""),"N/A","No"))</f>
        <v>N/A</v>
      </c>
      <c r="AD104" s="133">
        <f t="shared" ref="AD104:AD135" si="38">COUNTIFS(X:X, X104)</f>
        <v>200</v>
      </c>
      <c r="AE104" s="133" t="str">
        <f t="shared" ref="AE104:AE135" si="39">IF(D104&lt;18,"Child",IF(AND(D104&gt;=18,D104&lt;25),"Youth","Not Youth"))</f>
        <v>Child</v>
      </c>
      <c r="AF104" s="133">
        <f t="shared" ref="AF104:AF135" si="40">COUNTIFS(X:X, X104, AE:AE, "Youth")+COUNTIFS(X:X, X104, AE:AE, "Child")</f>
        <v>200</v>
      </c>
      <c r="AG104" s="133" t="str">
        <f t="shared" ref="AG104:AG135" si="41">IF(AF104=AD104, "True", "False")</f>
        <v>True</v>
      </c>
      <c r="AH104" s="133">
        <f t="shared" ref="AH104:AH135" si="42">COUNTIFS(X:X, X104, AE:AE, "Child")</f>
        <v>200</v>
      </c>
      <c r="AI104" s="133" t="str">
        <f t="shared" ref="AI104:AI135" si="43">IF(AND(C104="Adults &amp; Children", AH104&gt;0), "True", IF(OR(C104="Children Only", C104="Adults Only"), "N/A", "False"))</f>
        <v>False</v>
      </c>
    </row>
    <row r="105" spans="1:35" ht="15.75" customHeight="1" x14ac:dyDescent="0.25">
      <c r="A105" s="8">
        <v>198</v>
      </c>
      <c r="B105" s="9"/>
      <c r="C105" s="9"/>
      <c r="D105" s="10"/>
      <c r="E105" s="156"/>
      <c r="F105" s="9"/>
      <c r="G105" s="9"/>
      <c r="H105" s="9"/>
      <c r="I105" s="9"/>
      <c r="J105" s="9"/>
      <c r="K105" s="148"/>
      <c r="L105" s="148"/>
      <c r="M105" s="148"/>
      <c r="N105" s="148"/>
      <c r="O105" s="122"/>
      <c r="P105" s="121"/>
      <c r="Q105" s="109">
        <f>IF(COUNTIF($B$8:$B105,$B105)=1,1,0)</f>
        <v>0</v>
      </c>
      <c r="R105" s="22">
        <f>IFERROR((COUNTIF($A:$A,'Client Level Data'!$A105))/COUNTIF($B:$B,$B105),0)</f>
        <v>0</v>
      </c>
      <c r="S105" s="22" t="str">
        <f>IF(SUMIFS($R:$R,$J:$J,"Yes",$B:$B,'Client Level Data'!$B105)&gt;0,"Chronic Flag","")</f>
        <v/>
      </c>
      <c r="T105" s="22" t="str">
        <f>IF(SUMIFS($R:$R,$G:$G,"Yes",$B:$B,'Client Level Data'!$B105)&gt;0,"PY Flag","")</f>
        <v/>
      </c>
      <c r="U105" s="22" t="str">
        <f>IF(SUMIFS($R:$R,$D:$D,"&lt;18",$G:$G,"Yes",$B:$B,'Client Level Data'!$B105)&gt;0,"PY &lt;18",IF(SUMIFS($R:$R,$D:$D,"&gt;17",$D:$D,"&lt;25",$G:$G,"Yes",$B:$B,'Client Level Data'!$B105)&gt;0,"PY &gt;17 &lt;25",""))</f>
        <v/>
      </c>
      <c r="V105" s="22">
        <f>IF('Client Level Data'!$K105="Yes",1,0)+IF('Client Level Data'!$L105="Yes",1,0)+IF('Client Level Data'!$M105="Yes",1,0)</f>
        <v>0</v>
      </c>
      <c r="W105" s="21" t="str">
        <f>IF(SUMIFS($R:$R,$F:$F,"Yes",$B:$B,'Client Level Data'!$B105)&gt;0,"Vet Flag","")</f>
        <v/>
      </c>
      <c r="X105" s="12">
        <f t="shared" si="33"/>
        <v>0</v>
      </c>
      <c r="Y105" s="12" t="e">
        <f t="shared" si="34"/>
        <v>#N/A</v>
      </c>
      <c r="Z105" s="12" t="e">
        <f t="shared" si="35"/>
        <v>#N/A</v>
      </c>
      <c r="AA105" s="12">
        <f t="shared" si="36"/>
        <v>0</v>
      </c>
      <c r="AB105" s="12" t="str">
        <f>IF(SUMIFS($R:$R,$H:$H,"Yes",$B:$B,'Client Level Data'!$B105)&gt;0,"CPY Flag","")</f>
        <v/>
      </c>
      <c r="AC105" s="12" t="str">
        <f t="shared" si="37"/>
        <v>N/A</v>
      </c>
      <c r="AD105" s="12">
        <f t="shared" si="38"/>
        <v>200</v>
      </c>
      <c r="AE105" s="12" t="str">
        <f t="shared" si="39"/>
        <v>Child</v>
      </c>
      <c r="AF105" s="12">
        <f t="shared" si="40"/>
        <v>200</v>
      </c>
      <c r="AG105" s="12" t="str">
        <f t="shared" si="41"/>
        <v>True</v>
      </c>
      <c r="AH105" s="12">
        <f t="shared" si="42"/>
        <v>200</v>
      </c>
      <c r="AI105" s="12" t="str">
        <f t="shared" si="43"/>
        <v>False</v>
      </c>
    </row>
    <row r="106" spans="1:35" s="133" customFormat="1" ht="15.75" customHeight="1" x14ac:dyDescent="0.25">
      <c r="A106" s="125">
        <v>199</v>
      </c>
      <c r="B106" s="126"/>
      <c r="C106" s="126"/>
      <c r="D106" s="127"/>
      <c r="E106" s="157"/>
      <c r="F106" s="126"/>
      <c r="G106" s="126"/>
      <c r="H106" s="126"/>
      <c r="I106" s="126"/>
      <c r="J106" s="126"/>
      <c r="K106" s="126"/>
      <c r="L106" s="126"/>
      <c r="M106" s="126"/>
      <c r="N106" s="126"/>
      <c r="O106" s="134"/>
      <c r="P106" s="135"/>
      <c r="Q106" s="132">
        <f>IF(COUNTIF($B$8:$B106,$B106)=1,1,0)</f>
        <v>0</v>
      </c>
      <c r="R106" s="131">
        <f>IFERROR((COUNTIF($A:$A,'Client Level Data'!$A106))/COUNTIF($B:$B,$B106),0)</f>
        <v>0</v>
      </c>
      <c r="S106" s="131" t="str">
        <f>IF(SUMIFS($R:$R,$J:$J,"Yes",$B:$B,'Client Level Data'!$B106)&gt;0,"Chronic Flag","")</f>
        <v/>
      </c>
      <c r="T106" s="131" t="str">
        <f>IF(SUMIFS($R:$R,$G:$G,"Yes",$B:$B,'Client Level Data'!$B106)&gt;0,"PY Flag","")</f>
        <v/>
      </c>
      <c r="U106" s="131" t="str">
        <f>IF(SUMIFS($R:$R,$D:$D,"&lt;18",$G:$G,"Yes",$B:$B,'Client Level Data'!$B106)&gt;0,"PY &lt;18",IF(SUMIFS($R:$R,$D:$D,"&gt;17",$D:$D,"&lt;25",$G:$G,"Yes",$B:$B,'Client Level Data'!$B106)&gt;0,"PY &gt;17 &lt;25",""))</f>
        <v/>
      </c>
      <c r="V106" s="131">
        <f>IF('Client Level Data'!$K106="Yes",1,0)+IF('Client Level Data'!$L106="Yes",1,0)+IF('Client Level Data'!$M106="Yes",1,0)</f>
        <v>0</v>
      </c>
      <c r="W106" s="132" t="str">
        <f>IF(SUMIFS($R:$R,$F:$F,"Yes",$B:$B,'Client Level Data'!$B106)&gt;0,"Vet Flag","")</f>
        <v/>
      </c>
      <c r="X106" s="133">
        <f t="shared" si="33"/>
        <v>0</v>
      </c>
      <c r="Y106" s="133" t="e">
        <f t="shared" si="34"/>
        <v>#N/A</v>
      </c>
      <c r="Z106" s="133" t="e">
        <f t="shared" si="35"/>
        <v>#N/A</v>
      </c>
      <c r="AA106" s="133">
        <f t="shared" si="36"/>
        <v>0</v>
      </c>
      <c r="AB106" s="133" t="str">
        <f>IF(SUMIFS($R:$R,$H:$H,"Yes",$B:$B,'Client Level Data'!$B106)&gt;0,"CPY Flag","")</f>
        <v/>
      </c>
      <c r="AC106" s="133" t="str">
        <f t="shared" si="37"/>
        <v>N/A</v>
      </c>
      <c r="AD106" s="133">
        <f t="shared" si="38"/>
        <v>200</v>
      </c>
      <c r="AE106" s="133" t="str">
        <f t="shared" si="39"/>
        <v>Child</v>
      </c>
      <c r="AF106" s="133">
        <f t="shared" si="40"/>
        <v>200</v>
      </c>
      <c r="AG106" s="133" t="str">
        <f t="shared" si="41"/>
        <v>True</v>
      </c>
      <c r="AH106" s="133">
        <f t="shared" si="42"/>
        <v>200</v>
      </c>
      <c r="AI106" s="133" t="str">
        <f t="shared" si="43"/>
        <v>False</v>
      </c>
    </row>
    <row r="107" spans="1:35" ht="15.75" customHeight="1" x14ac:dyDescent="0.25">
      <c r="A107" s="8">
        <v>200</v>
      </c>
      <c r="B107" s="9"/>
      <c r="C107" s="9"/>
      <c r="D107" s="10"/>
      <c r="E107" s="156"/>
      <c r="F107" s="9"/>
      <c r="G107" s="9"/>
      <c r="H107" s="9"/>
      <c r="I107" s="9"/>
      <c r="J107" s="9"/>
      <c r="K107" s="148"/>
      <c r="L107" s="148"/>
      <c r="M107" s="148"/>
      <c r="N107" s="148"/>
      <c r="O107" s="112"/>
      <c r="P107" s="113"/>
      <c r="Q107" s="21">
        <f>IF(COUNTIF($B$8:$B107,$B107)=1,1,0)</f>
        <v>0</v>
      </c>
      <c r="R107" s="22">
        <f>IFERROR((COUNTIF($A:$A,'Client Level Data'!$A107))/COUNTIF($B:$B,$B107),0)</f>
        <v>0</v>
      </c>
      <c r="S107" s="22" t="str">
        <f>IF(SUMIFS($R:$R,$J:$J,"Yes",$B:$B,'Client Level Data'!$B107)&gt;0,"Chronic Flag","")</f>
        <v/>
      </c>
      <c r="T107" s="22" t="str">
        <f>IF(SUMIFS($R:$R,$G:$G,"Yes",$B:$B,'Client Level Data'!$B107)&gt;0,"PY Flag","")</f>
        <v/>
      </c>
      <c r="U107" s="22" t="str">
        <f>IF(SUMIFS($R:$R,$D:$D,"&lt;18",$G:$G,"Yes",$B:$B,'Client Level Data'!$B107)&gt;0,"PY &lt;18",IF(SUMIFS($R:$R,$D:$D,"&gt;17",$D:$D,"&lt;25",$G:$G,"Yes",$B:$B,'Client Level Data'!$B107)&gt;0,"PY &gt;17 &lt;25",""))</f>
        <v/>
      </c>
      <c r="V107" s="22">
        <f>IF('Client Level Data'!$K107="Yes",1,0)+IF('Client Level Data'!$L107="Yes",1,0)+IF('Client Level Data'!$M107="Yes",1,0)</f>
        <v>0</v>
      </c>
      <c r="W107" s="21" t="str">
        <f>IF(SUMIFS($R:$R,$F:$F,"Yes",$B:$B,'Client Level Data'!$B107)&gt;0,"Vet Flag","")</f>
        <v/>
      </c>
      <c r="X107" s="12">
        <f t="shared" si="33"/>
        <v>0</v>
      </c>
      <c r="Y107" s="12" t="e">
        <f t="shared" si="34"/>
        <v>#N/A</v>
      </c>
      <c r="Z107" s="12" t="e">
        <f t="shared" si="35"/>
        <v>#N/A</v>
      </c>
      <c r="AA107" s="12">
        <f t="shared" si="36"/>
        <v>0</v>
      </c>
      <c r="AB107" s="12" t="str">
        <f>IF(SUMIFS($R:$R,$H:$H,"Yes",$B:$B,'Client Level Data'!$B107)&gt;0,"CPY Flag","")</f>
        <v/>
      </c>
      <c r="AC107" s="12" t="str">
        <f t="shared" si="37"/>
        <v>N/A</v>
      </c>
      <c r="AD107" s="12">
        <f t="shared" si="38"/>
        <v>200</v>
      </c>
      <c r="AE107" s="12" t="str">
        <f t="shared" si="39"/>
        <v>Child</v>
      </c>
      <c r="AF107" s="12">
        <f t="shared" si="40"/>
        <v>200</v>
      </c>
      <c r="AG107" s="12" t="str">
        <f t="shared" si="41"/>
        <v>True</v>
      </c>
      <c r="AH107" s="12">
        <f t="shared" si="42"/>
        <v>200</v>
      </c>
      <c r="AI107" s="12" t="str">
        <f t="shared" si="43"/>
        <v>False</v>
      </c>
    </row>
    <row r="108" spans="1:35" s="133" customFormat="1" ht="15.75" customHeight="1" x14ac:dyDescent="0.25">
      <c r="A108" s="125">
        <v>201</v>
      </c>
      <c r="B108" s="126"/>
      <c r="C108" s="126"/>
      <c r="D108" s="127"/>
      <c r="E108" s="157"/>
      <c r="F108" s="126"/>
      <c r="G108" s="126"/>
      <c r="H108" s="126"/>
      <c r="I108" s="126"/>
      <c r="J108" s="126"/>
      <c r="K108" s="126"/>
      <c r="L108" s="126"/>
      <c r="M108" s="126"/>
      <c r="N108" s="126"/>
      <c r="O108" s="136"/>
      <c r="P108" s="136"/>
      <c r="Q108" s="132">
        <f>IF(COUNTIF($B$8:$B108,$B108)=1,1,0)</f>
        <v>0</v>
      </c>
      <c r="R108" s="131">
        <f>IFERROR((COUNTIF($A:$A,'Client Level Data'!$A108))/COUNTIF($B:$B,$B108),0)</f>
        <v>0</v>
      </c>
      <c r="S108" s="131" t="str">
        <f>IF(SUMIFS($R:$R,$J:$J,"Yes",$B:$B,'Client Level Data'!$B108)&gt;0,"Chronic Flag","")</f>
        <v/>
      </c>
      <c r="T108" s="131" t="str">
        <f>IF(SUMIFS($R:$R,$G:$G,"Yes",$B:$B,'Client Level Data'!$B108)&gt;0,"PY Flag","")</f>
        <v/>
      </c>
      <c r="U108" s="131" t="str">
        <f>IF(SUMIFS($R:$R,$D:$D,"&lt;18",$G:$G,"Yes",$B:$B,'Client Level Data'!$B108)&gt;0,"PY &lt;18",IF(SUMIFS($R:$R,$D:$D,"&gt;17",$D:$D,"&lt;25",$G:$G,"Yes",$B:$B,'Client Level Data'!$B108)&gt;0,"PY &gt;17 &lt;25",""))</f>
        <v/>
      </c>
      <c r="V108" s="131">
        <f>IF('Client Level Data'!$K108="Yes",1,0)+IF('Client Level Data'!$L108="Yes",1,0)+IF('Client Level Data'!$M108="Yes",1,0)</f>
        <v>0</v>
      </c>
      <c r="W108" s="132" t="str">
        <f>IF(SUMIFS($R:$R,$F:$F,"Yes",$B:$B,'Client Level Data'!$B108)&gt;0,"Vet Flag","")</f>
        <v/>
      </c>
      <c r="X108" s="133">
        <f t="shared" si="33"/>
        <v>0</v>
      </c>
      <c r="Y108" s="133" t="e">
        <f t="shared" si="34"/>
        <v>#N/A</v>
      </c>
      <c r="Z108" s="133" t="e">
        <f t="shared" si="35"/>
        <v>#N/A</v>
      </c>
      <c r="AA108" s="133">
        <f t="shared" si="36"/>
        <v>0</v>
      </c>
      <c r="AB108" s="133" t="str">
        <f>IF(SUMIFS($R:$R,$H:$H,"Yes",$B:$B,'Client Level Data'!$B108)&gt;0,"CPY Flag","")</f>
        <v/>
      </c>
      <c r="AC108" s="133" t="str">
        <f t="shared" si="37"/>
        <v>N/A</v>
      </c>
      <c r="AD108" s="133">
        <f t="shared" si="38"/>
        <v>200</v>
      </c>
      <c r="AE108" s="133" t="str">
        <f t="shared" si="39"/>
        <v>Child</v>
      </c>
      <c r="AF108" s="133">
        <f t="shared" si="40"/>
        <v>200</v>
      </c>
      <c r="AG108" s="133" t="str">
        <f t="shared" si="41"/>
        <v>True</v>
      </c>
      <c r="AH108" s="133">
        <f t="shared" si="42"/>
        <v>200</v>
      </c>
      <c r="AI108" s="133" t="str">
        <f t="shared" si="43"/>
        <v>False</v>
      </c>
    </row>
    <row r="109" spans="1:35" ht="15.75" customHeight="1" x14ac:dyDescent="0.25">
      <c r="A109" s="8">
        <v>202</v>
      </c>
      <c r="B109" s="9"/>
      <c r="C109" s="9"/>
      <c r="D109" s="10"/>
      <c r="E109" s="156"/>
      <c r="F109" s="9"/>
      <c r="G109" s="9"/>
      <c r="H109" s="9"/>
      <c r="I109" s="9"/>
      <c r="J109" s="9"/>
      <c r="K109" s="148"/>
      <c r="L109" s="148"/>
      <c r="M109" s="148"/>
      <c r="N109" s="148"/>
      <c r="O109" s="110"/>
      <c r="P109" s="111"/>
      <c r="Q109" s="109">
        <f>IF(COUNTIF($B$8:$B109,$B109)=1,1,0)</f>
        <v>0</v>
      </c>
      <c r="R109" s="22">
        <f>IFERROR((COUNTIF($A:$A,'Client Level Data'!$A109))/COUNTIF($B:$B,$B109),0)</f>
        <v>0</v>
      </c>
      <c r="S109" s="22" t="str">
        <f>IF(SUMIFS($R:$R,$J:$J,"Yes",$B:$B,'Client Level Data'!$B109)&gt;0,"Chronic Flag","")</f>
        <v/>
      </c>
      <c r="T109" s="22" t="str">
        <f>IF(SUMIFS($R:$R,$G:$G,"Yes",$B:$B,'Client Level Data'!$B109)&gt;0,"PY Flag","")</f>
        <v/>
      </c>
      <c r="U109" s="22" t="str">
        <f>IF(SUMIFS($R:$R,$D:$D,"&lt;18",$G:$G,"Yes",$B:$B,'Client Level Data'!$B109)&gt;0,"PY &lt;18",IF(SUMIFS($R:$R,$D:$D,"&gt;17",$D:$D,"&lt;25",$G:$G,"Yes",$B:$B,'Client Level Data'!$B109)&gt;0,"PY &gt;17 &lt;25",""))</f>
        <v/>
      </c>
      <c r="V109" s="22">
        <f>IF('Client Level Data'!$K109="Yes",1,0)+IF('Client Level Data'!$L109="Yes",1,0)+IF('Client Level Data'!$M109="Yes",1,0)</f>
        <v>0</v>
      </c>
      <c r="W109" s="21" t="str">
        <f>IF(SUMIFS($R:$R,$F:$F,"Yes",$B:$B,'Client Level Data'!$B109)&gt;0,"Vet Flag","")</f>
        <v/>
      </c>
      <c r="X109" s="12">
        <f t="shared" si="33"/>
        <v>0</v>
      </c>
      <c r="Y109" s="12" t="e">
        <f t="shared" si="34"/>
        <v>#N/A</v>
      </c>
      <c r="Z109" s="12" t="e">
        <f t="shared" si="35"/>
        <v>#N/A</v>
      </c>
      <c r="AA109" s="12">
        <f t="shared" si="36"/>
        <v>0</v>
      </c>
      <c r="AB109" s="12" t="str">
        <f>IF(SUMIFS($R:$R,$H:$H,"Yes",$B:$B,'Client Level Data'!$B109)&gt;0,"CPY Flag","")</f>
        <v/>
      </c>
      <c r="AC109" s="12" t="str">
        <f t="shared" si="37"/>
        <v>N/A</v>
      </c>
      <c r="AD109" s="12">
        <f t="shared" si="38"/>
        <v>200</v>
      </c>
      <c r="AE109" s="12" t="str">
        <f t="shared" si="39"/>
        <v>Child</v>
      </c>
      <c r="AF109" s="12">
        <f t="shared" si="40"/>
        <v>200</v>
      </c>
      <c r="AG109" s="12" t="str">
        <f t="shared" si="41"/>
        <v>True</v>
      </c>
      <c r="AH109" s="12">
        <f t="shared" si="42"/>
        <v>200</v>
      </c>
      <c r="AI109" s="12" t="str">
        <f t="shared" si="43"/>
        <v>False</v>
      </c>
    </row>
    <row r="110" spans="1:35" s="133" customFormat="1" ht="15.75" customHeight="1" x14ac:dyDescent="0.25">
      <c r="A110" s="125">
        <v>203</v>
      </c>
      <c r="B110" s="126"/>
      <c r="C110" s="126"/>
      <c r="D110" s="127"/>
      <c r="E110" s="157"/>
      <c r="F110" s="126"/>
      <c r="G110" s="126"/>
      <c r="H110" s="126"/>
      <c r="I110" s="126"/>
      <c r="J110" s="126"/>
      <c r="K110" s="126"/>
      <c r="L110" s="126"/>
      <c r="M110" s="126"/>
      <c r="N110" s="126"/>
      <c r="O110" s="135"/>
      <c r="P110" s="135"/>
      <c r="Q110" s="132">
        <f>IF(COUNTIF($B$8:$B110,$B110)=1,1,0)</f>
        <v>0</v>
      </c>
      <c r="R110" s="131">
        <f>IFERROR((COUNTIF($A:$A,'Client Level Data'!$A110))/COUNTIF($B:$B,$B110),0)</f>
        <v>0</v>
      </c>
      <c r="S110" s="131" t="str">
        <f>IF(SUMIFS($R:$R,$J:$J,"Yes",$B:$B,'Client Level Data'!$B110)&gt;0,"Chronic Flag","")</f>
        <v/>
      </c>
      <c r="T110" s="131" t="str">
        <f>IF(SUMIFS($R:$R,$G:$G,"Yes",$B:$B,'Client Level Data'!$B110)&gt;0,"PY Flag","")</f>
        <v/>
      </c>
      <c r="U110" s="131" t="str">
        <f>IF(SUMIFS($R:$R,$D:$D,"&lt;18",$G:$G,"Yes",$B:$B,'Client Level Data'!$B110)&gt;0,"PY &lt;18",IF(SUMIFS($R:$R,$D:$D,"&gt;17",$D:$D,"&lt;25",$G:$G,"Yes",$B:$B,'Client Level Data'!$B110)&gt;0,"PY &gt;17 &lt;25",""))</f>
        <v/>
      </c>
      <c r="V110" s="131">
        <f>IF('Client Level Data'!$K110="Yes",1,0)+IF('Client Level Data'!$L110="Yes",1,0)+IF('Client Level Data'!$M110="Yes",1,0)</f>
        <v>0</v>
      </c>
      <c r="W110" s="132" t="str">
        <f>IF(SUMIFS($R:$R,$F:$F,"Yes",$B:$B,'Client Level Data'!$B110)&gt;0,"Vet Flag","")</f>
        <v/>
      </c>
      <c r="X110" s="133">
        <f t="shared" si="33"/>
        <v>0</v>
      </c>
      <c r="Y110" s="133" t="e">
        <f t="shared" si="34"/>
        <v>#N/A</v>
      </c>
      <c r="Z110" s="133" t="e">
        <f t="shared" si="35"/>
        <v>#N/A</v>
      </c>
      <c r="AA110" s="133">
        <f t="shared" si="36"/>
        <v>0</v>
      </c>
      <c r="AB110" s="133" t="str">
        <f>IF(SUMIFS($R:$R,$H:$H,"Yes",$B:$B,'Client Level Data'!$B110)&gt;0,"CPY Flag","")</f>
        <v/>
      </c>
      <c r="AC110" s="133" t="str">
        <f t="shared" si="37"/>
        <v>N/A</v>
      </c>
      <c r="AD110" s="133">
        <f t="shared" si="38"/>
        <v>200</v>
      </c>
      <c r="AE110" s="133" t="str">
        <f t="shared" si="39"/>
        <v>Child</v>
      </c>
      <c r="AF110" s="133">
        <f t="shared" si="40"/>
        <v>200</v>
      </c>
      <c r="AG110" s="133" t="str">
        <f t="shared" si="41"/>
        <v>True</v>
      </c>
      <c r="AH110" s="133">
        <f t="shared" si="42"/>
        <v>200</v>
      </c>
      <c r="AI110" s="133" t="str">
        <f t="shared" si="43"/>
        <v>False</v>
      </c>
    </row>
    <row r="111" spans="1:35" ht="15.75" customHeight="1" x14ac:dyDescent="0.25">
      <c r="A111" s="8">
        <v>204</v>
      </c>
      <c r="B111" s="9"/>
      <c r="C111" s="9"/>
      <c r="D111" s="10"/>
      <c r="E111" s="156"/>
      <c r="F111" s="9"/>
      <c r="G111" s="9"/>
      <c r="H111" s="9"/>
      <c r="I111" s="9"/>
      <c r="J111" s="9"/>
      <c r="K111" s="148"/>
      <c r="L111" s="148"/>
      <c r="M111" s="148"/>
      <c r="N111" s="148"/>
      <c r="O111" s="124"/>
      <c r="P111" s="122"/>
      <c r="Q111" s="21">
        <f>IF(COUNTIF($B$8:$B111,$B111)=1,1,0)</f>
        <v>0</v>
      </c>
      <c r="R111" s="22">
        <f>IFERROR((COUNTIF($A:$A,'Client Level Data'!$A111))/COUNTIF($B:$B,$B111),0)</f>
        <v>0</v>
      </c>
      <c r="S111" s="22" t="str">
        <f>IF(SUMIFS($R:$R,$J:$J,"Yes",$B:$B,'Client Level Data'!$B111)&gt;0,"Chronic Flag","")</f>
        <v/>
      </c>
      <c r="T111" s="22" t="str">
        <f>IF(SUMIFS($R:$R,$G:$G,"Yes",$B:$B,'Client Level Data'!$B111)&gt;0,"PY Flag","")</f>
        <v/>
      </c>
      <c r="U111" s="22" t="str">
        <f>IF(SUMIFS($R:$R,$D:$D,"&lt;18",$G:$G,"Yes",$B:$B,'Client Level Data'!$B111)&gt;0,"PY &lt;18",IF(SUMIFS($R:$R,$D:$D,"&gt;17",$D:$D,"&lt;25",$G:$G,"Yes",$B:$B,'Client Level Data'!$B111)&gt;0,"PY &gt;17 &lt;25",""))</f>
        <v/>
      </c>
      <c r="V111" s="22">
        <f>IF('Client Level Data'!$K111="Yes",1,0)+IF('Client Level Data'!$L111="Yes",1,0)+IF('Client Level Data'!$M111="Yes",1,0)</f>
        <v>0</v>
      </c>
      <c r="W111" s="21" t="str">
        <f>IF(SUMIFS($R:$R,$F:$F,"Yes",$B:$B,'Client Level Data'!$B111)&gt;0,"Vet Flag","")</f>
        <v/>
      </c>
      <c r="X111" s="12">
        <f t="shared" si="33"/>
        <v>0</v>
      </c>
      <c r="Y111" s="12" t="e">
        <f t="shared" si="34"/>
        <v>#N/A</v>
      </c>
      <c r="Z111" s="12" t="e">
        <f t="shared" si="35"/>
        <v>#N/A</v>
      </c>
      <c r="AA111" s="12">
        <f t="shared" si="36"/>
        <v>0</v>
      </c>
      <c r="AB111" s="12" t="str">
        <f>IF(SUMIFS($R:$R,$H:$H,"Yes",$B:$B,'Client Level Data'!$B111)&gt;0,"CPY Flag","")</f>
        <v/>
      </c>
      <c r="AC111" s="12" t="str">
        <f t="shared" si="37"/>
        <v>N/A</v>
      </c>
      <c r="AD111" s="12">
        <f t="shared" si="38"/>
        <v>200</v>
      </c>
      <c r="AE111" s="12" t="str">
        <f t="shared" si="39"/>
        <v>Child</v>
      </c>
      <c r="AF111" s="12">
        <f t="shared" si="40"/>
        <v>200</v>
      </c>
      <c r="AG111" s="12" t="str">
        <f t="shared" si="41"/>
        <v>True</v>
      </c>
      <c r="AH111" s="12">
        <f t="shared" si="42"/>
        <v>200</v>
      </c>
      <c r="AI111" s="12" t="str">
        <f t="shared" si="43"/>
        <v>False</v>
      </c>
    </row>
    <row r="112" spans="1:35" s="133" customFormat="1" ht="15.75" customHeight="1" x14ac:dyDescent="0.25">
      <c r="A112" s="125">
        <v>205</v>
      </c>
      <c r="B112" s="126"/>
      <c r="C112" s="126"/>
      <c r="D112" s="127"/>
      <c r="E112" s="157"/>
      <c r="F112" s="126"/>
      <c r="G112" s="126"/>
      <c r="H112" s="126"/>
      <c r="I112" s="126"/>
      <c r="J112" s="126"/>
      <c r="K112" s="126"/>
      <c r="L112" s="126"/>
      <c r="M112" s="126"/>
      <c r="N112" s="126"/>
      <c r="O112" s="137"/>
      <c r="P112" s="137"/>
      <c r="Q112" s="132">
        <f>IF(COUNTIF($B$8:$B112,$B112)=1,1,0)</f>
        <v>0</v>
      </c>
      <c r="R112" s="131">
        <f>IFERROR((COUNTIF($A:$A,'Client Level Data'!$A112))/COUNTIF($B:$B,$B112),0)</f>
        <v>0</v>
      </c>
      <c r="S112" s="131" t="str">
        <f>IF(SUMIFS($R:$R,$J:$J,"Yes",$B:$B,'Client Level Data'!$B112)&gt;0,"Chronic Flag","")</f>
        <v/>
      </c>
      <c r="T112" s="131" t="str">
        <f>IF(SUMIFS($R:$R,$G:$G,"Yes",$B:$B,'Client Level Data'!$B112)&gt;0,"PY Flag","")</f>
        <v/>
      </c>
      <c r="U112" s="131" t="str">
        <f>IF(SUMIFS($R:$R,$D:$D,"&lt;18",$G:$G,"Yes",$B:$B,'Client Level Data'!$B112)&gt;0,"PY &lt;18",IF(SUMIFS($R:$R,$D:$D,"&gt;17",$D:$D,"&lt;25",$G:$G,"Yes",$B:$B,'Client Level Data'!$B112)&gt;0,"PY &gt;17 &lt;25",""))</f>
        <v/>
      </c>
      <c r="V112" s="131">
        <f>IF('Client Level Data'!$K112="Yes",1,0)+IF('Client Level Data'!$L112="Yes",1,0)+IF('Client Level Data'!$M112="Yes",1,0)</f>
        <v>0</v>
      </c>
      <c r="W112" s="132" t="str">
        <f>IF(SUMIFS($R:$R,$F:$F,"Yes",$B:$B,'Client Level Data'!$B112)&gt;0,"Vet Flag","")</f>
        <v/>
      </c>
      <c r="X112" s="133">
        <f t="shared" si="33"/>
        <v>0</v>
      </c>
      <c r="Y112" s="133" t="e">
        <f t="shared" si="34"/>
        <v>#N/A</v>
      </c>
      <c r="Z112" s="133" t="e">
        <f t="shared" si="35"/>
        <v>#N/A</v>
      </c>
      <c r="AA112" s="133">
        <f t="shared" si="36"/>
        <v>0</v>
      </c>
      <c r="AB112" s="133" t="str">
        <f>IF(SUMIFS($R:$R,$H:$H,"Yes",$B:$B,'Client Level Data'!$B112)&gt;0,"CPY Flag","")</f>
        <v/>
      </c>
      <c r="AC112" s="133" t="str">
        <f t="shared" si="37"/>
        <v>N/A</v>
      </c>
      <c r="AD112" s="133">
        <f t="shared" si="38"/>
        <v>200</v>
      </c>
      <c r="AE112" s="133" t="str">
        <f t="shared" si="39"/>
        <v>Child</v>
      </c>
      <c r="AF112" s="133">
        <f t="shared" si="40"/>
        <v>200</v>
      </c>
      <c r="AG112" s="133" t="str">
        <f t="shared" si="41"/>
        <v>True</v>
      </c>
      <c r="AH112" s="133">
        <f t="shared" si="42"/>
        <v>200</v>
      </c>
      <c r="AI112" s="133" t="str">
        <f t="shared" si="43"/>
        <v>False</v>
      </c>
    </row>
    <row r="113" spans="1:35" ht="15.75" customHeight="1" x14ac:dyDescent="0.25">
      <c r="A113" s="174">
        <v>206</v>
      </c>
      <c r="B113" s="112"/>
      <c r="C113" s="111"/>
      <c r="D113" s="182"/>
      <c r="E113" s="183"/>
      <c r="F113" s="115"/>
      <c r="G113" s="177"/>
      <c r="H113" s="179"/>
      <c r="I113" s="110"/>
      <c r="J113" s="112"/>
      <c r="K113" s="181"/>
      <c r="L113" s="181"/>
      <c r="M113" s="181"/>
      <c r="N113" s="181"/>
      <c r="O113" s="112"/>
      <c r="P113" s="111"/>
      <c r="Q113" s="180">
        <f>IF(COUNTIF($B$8:$B207,$B113)=1,1,0)</f>
        <v>0</v>
      </c>
      <c r="R113" s="22">
        <f>IFERROR((COUNTIF($A:$A,'Client Level Data'!$A113))/COUNTIF($B:$B,$B113),0)</f>
        <v>0</v>
      </c>
      <c r="S113" s="22" t="str">
        <f>IF(SUMIFS($R:$R,$J:$J,"Yes",$B:$B,'Client Level Data'!$B113)&gt;0,"Chronic Flag","")</f>
        <v/>
      </c>
      <c r="T113" s="22" t="str">
        <f>IF(SUMIFS($R:$R,$G:$G,"Yes",$B:$B,'Client Level Data'!$B113)&gt;0,"PY Flag","")</f>
        <v/>
      </c>
      <c r="U113" s="22" t="str">
        <f>IF(SUMIFS($R:$R,$D:$D,"&lt;18",$G:$G,"Yes",$B:$B,'Client Level Data'!$B113)&gt;0,"PY &lt;18",IF(SUMIFS($R:$R,$D:$D,"&gt;17",$D:$D,"&lt;25",$G:$G,"Yes",$B:$B,'Client Level Data'!$B113)&gt;0,"PY &gt;17 &lt;25",""))</f>
        <v/>
      </c>
      <c r="V113" s="22">
        <f>IF('Client Level Data'!$K113="Yes",1,0)+IF('Client Level Data'!$L113="Yes",1,0)+IF('Client Level Data'!$M113="Yes",1,0)</f>
        <v>0</v>
      </c>
      <c r="W113" s="21" t="str">
        <f>IF(SUMIFS($R:$R,$F:$F,"Yes",$B:$B,'Client Level Data'!$B113)&gt;0,"Vet Flag","")</f>
        <v/>
      </c>
      <c r="X113" s="12">
        <f t="shared" si="33"/>
        <v>0</v>
      </c>
      <c r="Y113" s="12" t="e">
        <f t="shared" si="34"/>
        <v>#N/A</v>
      </c>
      <c r="Z113" s="12" t="e">
        <f t="shared" si="35"/>
        <v>#N/A</v>
      </c>
      <c r="AA113" s="12">
        <f t="shared" si="36"/>
        <v>0</v>
      </c>
      <c r="AB113" s="12" t="str">
        <f>IF(SUMIFS($R:$R,$H:$H,"Yes",$B:$B,'Client Level Data'!$B113)&gt;0,"CPY Flag","")</f>
        <v/>
      </c>
      <c r="AC113" s="12" t="str">
        <f t="shared" si="37"/>
        <v>N/A</v>
      </c>
      <c r="AD113" s="12">
        <f t="shared" si="38"/>
        <v>200</v>
      </c>
      <c r="AE113" s="12" t="str">
        <f t="shared" si="39"/>
        <v>Child</v>
      </c>
      <c r="AF113" s="12">
        <f t="shared" si="40"/>
        <v>200</v>
      </c>
      <c r="AG113" s="12" t="str">
        <f t="shared" si="41"/>
        <v>True</v>
      </c>
      <c r="AH113" s="12">
        <f t="shared" si="42"/>
        <v>200</v>
      </c>
      <c r="AI113" s="12" t="str">
        <f t="shared" si="43"/>
        <v>False</v>
      </c>
    </row>
    <row r="114" spans="1:35" s="133" customFormat="1" ht="15.75" customHeight="1" x14ac:dyDescent="0.25">
      <c r="A114" s="191">
        <v>207</v>
      </c>
      <c r="B114" s="142"/>
      <c r="C114" s="173"/>
      <c r="D114" s="168"/>
      <c r="E114" s="169"/>
      <c r="F114" s="175"/>
      <c r="G114" s="143"/>
      <c r="H114" s="145"/>
      <c r="I114" s="143"/>
      <c r="J114" s="136"/>
      <c r="K114" s="175"/>
      <c r="L114" s="143"/>
      <c r="M114" s="175"/>
      <c r="N114" s="143"/>
      <c r="O114" s="175"/>
      <c r="P114" s="143"/>
      <c r="Q114" s="170">
        <f>IF(COUNTIF($B$8:$B207,$B114)=1,1,0)</f>
        <v>0</v>
      </c>
      <c r="R114" s="171">
        <f>IFERROR((COUNTIF($A:$A,'Client Level Data'!$A114))/COUNTIF($B:$B,$B114),0)</f>
        <v>0</v>
      </c>
      <c r="S114" s="131" t="str">
        <f>IF(SUMIFS($R:$R,$J:$J,"Yes",$B:$B,'Client Level Data'!$B114)&gt;0,"Chronic Flag","")</f>
        <v/>
      </c>
      <c r="T114" s="171" t="str">
        <f>IF(SUMIFS($R:$R,$G:$G,"Yes",$B:$B,'Client Level Data'!$B114)&gt;0,"PY Flag","")</f>
        <v/>
      </c>
      <c r="U114" s="171" t="str">
        <f>IF(SUMIFS($R:$R,$D:$D,"&lt;18",$G:$G,"Yes",$B:$B,'Client Level Data'!$B114)&gt;0,"PY &lt;18",IF(SUMIFS($R:$R,$D:$D,"&gt;17",$D:$D,"&lt;25",$G:$G,"Yes",$B:$B,'Client Level Data'!$B114)&gt;0,"PY &gt;17 &lt;25",""))</f>
        <v/>
      </c>
      <c r="V114" s="172">
        <f>IF('Client Level Data'!$K114="Yes",1,0)+IF('Client Level Data'!$L114="Yes",1,0)+IF('Client Level Data'!$M114="Yes",1,0)</f>
        <v>0</v>
      </c>
      <c r="W114" s="172" t="str">
        <f>IF(SUMIFS($R:$R,$F:$F,"Yes",$B:$B,'Client Level Data'!$B114)&gt;0,"Vet Flag","")</f>
        <v/>
      </c>
      <c r="X114" s="133">
        <f t="shared" si="33"/>
        <v>0</v>
      </c>
      <c r="Y114" s="133" t="e">
        <f t="shared" si="34"/>
        <v>#N/A</v>
      </c>
      <c r="Z114" s="133" t="e">
        <f t="shared" si="35"/>
        <v>#N/A</v>
      </c>
      <c r="AA114" s="133">
        <f t="shared" si="36"/>
        <v>0</v>
      </c>
      <c r="AB114" s="133" t="str">
        <f>IF(SUMIFS($R:$R,$H:$H,"Yes",$B:$B,'Client Level Data'!$B114)&gt;0,"CPY Flag","")</f>
        <v/>
      </c>
      <c r="AC114" s="133" t="str">
        <f t="shared" si="37"/>
        <v>N/A</v>
      </c>
      <c r="AD114" s="133">
        <f t="shared" si="38"/>
        <v>200</v>
      </c>
      <c r="AE114" s="133" t="str">
        <f t="shared" si="39"/>
        <v>Child</v>
      </c>
      <c r="AF114" s="133">
        <f t="shared" si="40"/>
        <v>200</v>
      </c>
      <c r="AG114" s="133" t="str">
        <f t="shared" si="41"/>
        <v>True</v>
      </c>
      <c r="AH114" s="133">
        <f t="shared" si="42"/>
        <v>200</v>
      </c>
      <c r="AI114" s="133" t="str">
        <f t="shared" si="43"/>
        <v>False</v>
      </c>
    </row>
    <row r="115" spans="1:35" ht="15.75" customHeight="1" x14ac:dyDescent="0.25">
      <c r="A115" s="192">
        <v>208</v>
      </c>
      <c r="B115" s="115"/>
      <c r="C115" s="177"/>
      <c r="D115" s="122"/>
      <c r="E115" s="184"/>
      <c r="F115" s="115"/>
      <c r="G115" s="185"/>
      <c r="H115" s="115"/>
      <c r="I115" s="177"/>
      <c r="J115" s="179"/>
      <c r="K115" s="115"/>
      <c r="L115" s="185"/>
      <c r="M115" s="115"/>
      <c r="N115" s="185"/>
      <c r="O115" s="115"/>
      <c r="P115" s="177"/>
      <c r="Q115" s="166">
        <f>IF(COUNTIF($B$8:$B207,$B115)=1,1,0)</f>
        <v>0</v>
      </c>
      <c r="R115" s="165">
        <f>IFERROR((COUNTIF($A:$A,'Client Level Data'!$A115))/COUNTIF($B:$B,$B115),0)</f>
        <v>0</v>
      </c>
      <c r="S115" s="22" t="str">
        <f>IF(SUMIFS($R:$R,$J:$J,"Yes",$B:$B,'Client Level Data'!$B115)&gt;0,"Chronic Flag","")</f>
        <v/>
      </c>
      <c r="T115" s="165" t="str">
        <f>IF(SUMIFS($R:$R,$G:$G,"Yes",$B:$B,'Client Level Data'!$B115)&gt;0,"PY Flag","")</f>
        <v/>
      </c>
      <c r="U115" s="165" t="str">
        <f>IF(SUMIFS($R:$R,$D:$D,"&lt;18",$G:$G,"Yes",$B:$B,'Client Level Data'!$B115)&gt;0,"PY &lt;18",IF(SUMIFS($R:$R,$D:$D,"&gt;17",$D:$D,"&lt;25",$G:$G,"Yes",$B:$B,'Client Level Data'!$B115)&gt;0,"PY &gt;17 &lt;25",""))</f>
        <v/>
      </c>
      <c r="V115" s="1">
        <f>IF('Client Level Data'!$K115="Yes",1,0)+IF('Client Level Data'!$L115="Yes",1,0)+IF('Client Level Data'!$M115="Yes",1,0)</f>
        <v>0</v>
      </c>
      <c r="W115" s="1" t="str">
        <f>IF(SUMIFS($R:$R,$F:$F,"Yes",$B:$B,'Client Level Data'!$B115)&gt;0,"Vet Flag","")</f>
        <v/>
      </c>
      <c r="X115" s="12">
        <f t="shared" si="33"/>
        <v>0</v>
      </c>
      <c r="Y115" s="12" t="e">
        <f t="shared" si="34"/>
        <v>#N/A</v>
      </c>
      <c r="Z115" s="12" t="e">
        <f t="shared" si="35"/>
        <v>#N/A</v>
      </c>
      <c r="AA115" s="12">
        <f t="shared" si="36"/>
        <v>0</v>
      </c>
      <c r="AB115" s="12" t="str">
        <f>IF(SUMIFS($R:$R,$H:$H,"Yes",$B:$B,'Client Level Data'!$B115)&gt;0,"CPY Flag","")</f>
        <v/>
      </c>
      <c r="AC115" s="12" t="str">
        <f t="shared" si="37"/>
        <v>N/A</v>
      </c>
      <c r="AD115" s="12">
        <f t="shared" si="38"/>
        <v>200</v>
      </c>
      <c r="AE115" s="12" t="str">
        <f t="shared" si="39"/>
        <v>Child</v>
      </c>
      <c r="AF115" s="12">
        <f t="shared" si="40"/>
        <v>200</v>
      </c>
      <c r="AG115" s="12" t="str">
        <f t="shared" si="41"/>
        <v>True</v>
      </c>
      <c r="AH115" s="12">
        <f t="shared" si="42"/>
        <v>200</v>
      </c>
      <c r="AI115" s="12" t="str">
        <f t="shared" si="43"/>
        <v>False</v>
      </c>
    </row>
    <row r="116" spans="1:35" s="133" customFormat="1" ht="15.75" customHeight="1" x14ac:dyDescent="0.25">
      <c r="A116" s="193">
        <v>209</v>
      </c>
      <c r="B116" s="175"/>
      <c r="C116" s="167"/>
      <c r="D116" s="168"/>
      <c r="E116" s="169"/>
      <c r="F116" s="175"/>
      <c r="G116" s="143"/>
      <c r="H116" s="175"/>
      <c r="I116" s="167"/>
      <c r="J116" s="126"/>
      <c r="K116" s="175"/>
      <c r="L116" s="167"/>
      <c r="M116" s="175"/>
      <c r="N116" s="167"/>
      <c r="O116" s="175"/>
      <c r="P116" s="167"/>
      <c r="Q116" s="170">
        <f>IF(COUNTIF($B$8:$B207,$B116)=1,1,0)</f>
        <v>0</v>
      </c>
      <c r="R116" s="171">
        <f>IFERROR((COUNTIF($A:$A,'Client Level Data'!$A116))/COUNTIF($B:$B,$B116),0)</f>
        <v>0</v>
      </c>
      <c r="S116" s="131" t="str">
        <f>IF(SUMIFS($R:$R,$J:$J,"Yes",$B:$B,'Client Level Data'!$B116)&gt;0,"Chronic Flag","")</f>
        <v/>
      </c>
      <c r="T116" s="171" t="str">
        <f>IF(SUMIFS($R:$R,$G:$G,"Yes",$B:$B,'Client Level Data'!$B116)&gt;0,"PY Flag","")</f>
        <v/>
      </c>
      <c r="U116" s="171" t="str">
        <f>IF(SUMIFS($R:$R,$D:$D,"&lt;18",$G:$G,"Yes",$B:$B,'Client Level Data'!$B116)&gt;0,"PY &lt;18",IF(SUMIFS($R:$R,$D:$D,"&gt;17",$D:$D,"&lt;25",$G:$G,"Yes",$B:$B,'Client Level Data'!$B116)&gt;0,"PY &gt;17 &lt;25",""))</f>
        <v/>
      </c>
      <c r="V116" s="172">
        <f>IF('Client Level Data'!$K116="Yes",1,0)+IF('Client Level Data'!$L116="Yes",1,0)+IF('Client Level Data'!$M116="Yes",1,0)</f>
        <v>0</v>
      </c>
      <c r="W116" s="172" t="str">
        <f>IF(SUMIFS($R:$R,$F:$F,"Yes",$B:$B,'Client Level Data'!$B116)&gt;0,"Vet Flag","")</f>
        <v/>
      </c>
      <c r="X116" s="133">
        <f t="shared" si="33"/>
        <v>0</v>
      </c>
      <c r="Y116" s="133" t="e">
        <f t="shared" si="34"/>
        <v>#N/A</v>
      </c>
      <c r="Z116" s="133" t="e">
        <f t="shared" si="35"/>
        <v>#N/A</v>
      </c>
      <c r="AA116" s="133">
        <f t="shared" si="36"/>
        <v>0</v>
      </c>
      <c r="AB116" s="133" t="str">
        <f>IF(SUMIFS($R:$R,$H:$H,"Yes",$B:$B,'Client Level Data'!$B116)&gt;0,"CPY Flag","")</f>
        <v/>
      </c>
      <c r="AC116" s="133" t="str">
        <f t="shared" si="37"/>
        <v>N/A</v>
      </c>
      <c r="AD116" s="133">
        <f t="shared" si="38"/>
        <v>200</v>
      </c>
      <c r="AE116" s="133" t="str">
        <f t="shared" si="39"/>
        <v>Child</v>
      </c>
      <c r="AF116" s="133">
        <f t="shared" si="40"/>
        <v>200</v>
      </c>
      <c r="AG116" s="133" t="str">
        <f t="shared" si="41"/>
        <v>True</v>
      </c>
      <c r="AH116" s="133">
        <f t="shared" si="42"/>
        <v>200</v>
      </c>
      <c r="AI116" s="133" t="str">
        <f t="shared" si="43"/>
        <v>False</v>
      </c>
    </row>
    <row r="117" spans="1:35" ht="15.75" customHeight="1" x14ac:dyDescent="0.25">
      <c r="A117" s="192">
        <v>210</v>
      </c>
      <c r="B117" s="115"/>
      <c r="C117" s="177"/>
      <c r="D117" s="122"/>
      <c r="E117" s="184"/>
      <c r="F117" s="115"/>
      <c r="G117" s="185"/>
      <c r="H117" s="115"/>
      <c r="I117" s="177"/>
      <c r="J117" s="179"/>
      <c r="K117" s="115"/>
      <c r="L117" s="185"/>
      <c r="M117" s="115"/>
      <c r="N117" s="185"/>
      <c r="O117" s="115"/>
      <c r="P117" s="177"/>
      <c r="Q117" s="166">
        <f>IF(COUNTIF($B$8:$B207,$B117)=1,1,0)</f>
        <v>0</v>
      </c>
      <c r="R117" s="165">
        <f>IFERROR((COUNTIF($A:$A,'Client Level Data'!$A117))/COUNTIF($B:$B,$B117),0)</f>
        <v>0</v>
      </c>
      <c r="S117" s="22" t="str">
        <f>IF(SUMIFS($R:$R,$J:$J,"Yes",$B:$B,'Client Level Data'!$B117)&gt;0,"Chronic Flag","")</f>
        <v/>
      </c>
      <c r="T117" s="165" t="str">
        <f>IF(SUMIFS($R:$R,$G:$G,"Yes",$B:$B,'Client Level Data'!$B117)&gt;0,"PY Flag","")</f>
        <v/>
      </c>
      <c r="U117" s="165" t="str">
        <f>IF(SUMIFS($R:$R,$D:$D,"&lt;18",$G:$G,"Yes",$B:$B,'Client Level Data'!$B117)&gt;0,"PY &lt;18",IF(SUMIFS($R:$R,$D:$D,"&gt;17",$D:$D,"&lt;25",$G:$G,"Yes",$B:$B,'Client Level Data'!$B117)&gt;0,"PY &gt;17 &lt;25",""))</f>
        <v/>
      </c>
      <c r="V117" s="1">
        <f>IF('Client Level Data'!$K117="Yes",1,0)+IF('Client Level Data'!$L117="Yes",1,0)+IF('Client Level Data'!$M117="Yes",1,0)</f>
        <v>0</v>
      </c>
      <c r="W117" s="1" t="str">
        <f>IF(SUMIFS($R:$R,$F:$F,"Yes",$B:$B,'Client Level Data'!$B117)&gt;0,"Vet Flag","")</f>
        <v/>
      </c>
      <c r="X117" s="12">
        <f t="shared" si="33"/>
        <v>0</v>
      </c>
      <c r="Y117" s="12" t="e">
        <f t="shared" si="34"/>
        <v>#N/A</v>
      </c>
      <c r="Z117" s="12" t="e">
        <f t="shared" si="35"/>
        <v>#N/A</v>
      </c>
      <c r="AA117" s="12">
        <f t="shared" si="36"/>
        <v>0</v>
      </c>
      <c r="AB117" s="12" t="str">
        <f>IF(SUMIFS($R:$R,$H:$H,"Yes",$B:$B,'Client Level Data'!$B117)&gt;0,"CPY Flag","")</f>
        <v/>
      </c>
      <c r="AC117" s="12" t="str">
        <f t="shared" si="37"/>
        <v>N/A</v>
      </c>
      <c r="AD117" s="12">
        <f t="shared" si="38"/>
        <v>200</v>
      </c>
      <c r="AE117" s="12" t="str">
        <f t="shared" si="39"/>
        <v>Child</v>
      </c>
      <c r="AF117" s="12">
        <f t="shared" si="40"/>
        <v>200</v>
      </c>
      <c r="AG117" s="12" t="str">
        <f t="shared" si="41"/>
        <v>True</v>
      </c>
      <c r="AH117" s="12">
        <f t="shared" si="42"/>
        <v>200</v>
      </c>
      <c r="AI117" s="12" t="str">
        <f t="shared" si="43"/>
        <v>False</v>
      </c>
    </row>
    <row r="118" spans="1:35" s="133" customFormat="1" ht="15.75" customHeight="1" x14ac:dyDescent="0.25">
      <c r="A118" s="193">
        <v>211</v>
      </c>
      <c r="B118" s="175"/>
      <c r="C118" s="167"/>
      <c r="D118" s="168"/>
      <c r="E118" s="169"/>
      <c r="F118" s="175"/>
      <c r="G118" s="143"/>
      <c r="H118" s="175"/>
      <c r="I118" s="167"/>
      <c r="J118" s="126"/>
      <c r="K118" s="175"/>
      <c r="L118" s="167"/>
      <c r="M118" s="175"/>
      <c r="N118" s="167"/>
      <c r="O118" s="175"/>
      <c r="P118" s="167"/>
      <c r="Q118" s="170">
        <f>IF(COUNTIF($B$8:$B207,$B118)=1,1,0)</f>
        <v>0</v>
      </c>
      <c r="R118" s="171">
        <f>IFERROR((COUNTIF($A:$A,'Client Level Data'!$A118))/COUNTIF($B:$B,$B118),0)</f>
        <v>0</v>
      </c>
      <c r="S118" s="131" t="str">
        <f>IF(SUMIFS($R:$R,$J:$J,"Yes",$B:$B,'Client Level Data'!$B118)&gt;0,"Chronic Flag","")</f>
        <v/>
      </c>
      <c r="T118" s="171" t="str">
        <f>IF(SUMIFS($R:$R,$G:$G,"Yes",$B:$B,'Client Level Data'!$B118)&gt;0,"PY Flag","")</f>
        <v/>
      </c>
      <c r="U118" s="171" t="str">
        <f>IF(SUMIFS($R:$R,$D:$D,"&lt;18",$G:$G,"Yes",$B:$B,'Client Level Data'!$B118)&gt;0,"PY &lt;18",IF(SUMIFS($R:$R,$D:$D,"&gt;17",$D:$D,"&lt;25",$G:$G,"Yes",$B:$B,'Client Level Data'!$B118)&gt;0,"PY &gt;17 &lt;25",""))</f>
        <v/>
      </c>
      <c r="V118" s="172">
        <f>IF('Client Level Data'!$K118="Yes",1,0)+IF('Client Level Data'!$L118="Yes",1,0)+IF('Client Level Data'!$M118="Yes",1,0)</f>
        <v>0</v>
      </c>
      <c r="W118" s="172" t="str">
        <f>IF(SUMIFS($R:$R,$F:$F,"Yes",$B:$B,'Client Level Data'!$B118)&gt;0,"Vet Flag","")</f>
        <v/>
      </c>
      <c r="X118" s="133">
        <f t="shared" si="33"/>
        <v>0</v>
      </c>
      <c r="Y118" s="133" t="e">
        <f t="shared" si="34"/>
        <v>#N/A</v>
      </c>
      <c r="Z118" s="133" t="e">
        <f t="shared" si="35"/>
        <v>#N/A</v>
      </c>
      <c r="AA118" s="133">
        <f t="shared" si="36"/>
        <v>0</v>
      </c>
      <c r="AB118" s="133" t="str">
        <f>IF(SUMIFS($R:$R,$H:$H,"Yes",$B:$B,'Client Level Data'!$B118)&gt;0,"CPY Flag","")</f>
        <v/>
      </c>
      <c r="AC118" s="133" t="str">
        <f t="shared" si="37"/>
        <v>N/A</v>
      </c>
      <c r="AD118" s="133">
        <f t="shared" si="38"/>
        <v>200</v>
      </c>
      <c r="AE118" s="133" t="str">
        <f t="shared" si="39"/>
        <v>Child</v>
      </c>
      <c r="AF118" s="133">
        <f t="shared" si="40"/>
        <v>200</v>
      </c>
      <c r="AG118" s="133" t="str">
        <f t="shared" si="41"/>
        <v>True</v>
      </c>
      <c r="AH118" s="133">
        <f t="shared" si="42"/>
        <v>200</v>
      </c>
      <c r="AI118" s="133" t="str">
        <f t="shared" si="43"/>
        <v>False</v>
      </c>
    </row>
    <row r="119" spans="1:35" ht="15.75" customHeight="1" x14ac:dyDescent="0.25">
      <c r="A119" s="194">
        <v>212</v>
      </c>
      <c r="B119" s="115"/>
      <c r="C119" s="177"/>
      <c r="D119" s="122"/>
      <c r="E119" s="184"/>
      <c r="F119" s="115"/>
      <c r="G119" s="185"/>
      <c r="H119" s="115"/>
      <c r="I119" s="177"/>
      <c r="J119" s="179"/>
      <c r="K119" s="115"/>
      <c r="L119" s="185"/>
      <c r="M119" s="115"/>
      <c r="N119" s="185"/>
      <c r="O119" s="115"/>
      <c r="P119" s="177"/>
      <c r="Q119" s="166">
        <f>IF(COUNTIF($B$8:$B207,$B119)=1,1,0)</f>
        <v>0</v>
      </c>
      <c r="R119" s="165">
        <f>IFERROR((COUNTIF($A:$A,'Client Level Data'!$A119))/COUNTIF($B:$B,$B119),0)</f>
        <v>0</v>
      </c>
      <c r="S119" s="22" t="str">
        <f>IF(SUMIFS($R:$R,$J:$J,"Yes",$B:$B,'Client Level Data'!$B119)&gt;0,"Chronic Flag","")</f>
        <v/>
      </c>
      <c r="T119" s="165" t="str">
        <f>IF(SUMIFS($R:$R,$G:$G,"Yes",$B:$B,'Client Level Data'!$B119)&gt;0,"PY Flag","")</f>
        <v/>
      </c>
      <c r="U119" s="165" t="str">
        <f>IF(SUMIFS($R:$R,$D:$D,"&lt;18",$G:$G,"Yes",$B:$B,'Client Level Data'!$B119)&gt;0,"PY &lt;18",IF(SUMIFS($R:$R,$D:$D,"&gt;17",$D:$D,"&lt;25",$G:$G,"Yes",$B:$B,'Client Level Data'!$B119)&gt;0,"PY &gt;17 &lt;25",""))</f>
        <v/>
      </c>
      <c r="V119" s="1">
        <f>IF('Client Level Data'!$K119="Yes",1,0)+IF('Client Level Data'!$L119="Yes",1,0)+IF('Client Level Data'!$M119="Yes",1,0)</f>
        <v>0</v>
      </c>
      <c r="W119" s="1" t="str">
        <f>IF(SUMIFS($R:$R,$F:$F,"Yes",$B:$B,'Client Level Data'!$B119)&gt;0,"Vet Flag","")</f>
        <v/>
      </c>
      <c r="X119" s="12">
        <f t="shared" si="33"/>
        <v>0</v>
      </c>
      <c r="Y119" s="12" t="e">
        <f t="shared" si="34"/>
        <v>#N/A</v>
      </c>
      <c r="Z119" s="12" t="e">
        <f t="shared" si="35"/>
        <v>#N/A</v>
      </c>
      <c r="AA119" s="12">
        <f t="shared" si="36"/>
        <v>0</v>
      </c>
      <c r="AB119" s="12" t="str">
        <f>IF(SUMIFS($R:$R,$H:$H,"Yes",$B:$B,'Client Level Data'!$B119)&gt;0,"CPY Flag","")</f>
        <v/>
      </c>
      <c r="AC119" s="12" t="str">
        <f t="shared" si="37"/>
        <v>N/A</v>
      </c>
      <c r="AD119" s="12">
        <f t="shared" si="38"/>
        <v>200</v>
      </c>
      <c r="AE119" s="12" t="str">
        <f t="shared" si="39"/>
        <v>Child</v>
      </c>
      <c r="AF119" s="12">
        <f t="shared" si="40"/>
        <v>200</v>
      </c>
      <c r="AG119" s="12" t="str">
        <f t="shared" si="41"/>
        <v>True</v>
      </c>
      <c r="AH119" s="12">
        <f t="shared" si="42"/>
        <v>200</v>
      </c>
      <c r="AI119" s="12" t="str">
        <f t="shared" si="43"/>
        <v>False</v>
      </c>
    </row>
    <row r="120" spans="1:35" s="133" customFormat="1" ht="15.75" customHeight="1" x14ac:dyDescent="0.25">
      <c r="A120" s="193">
        <v>213</v>
      </c>
      <c r="B120" s="175"/>
      <c r="C120" s="167"/>
      <c r="D120" s="168"/>
      <c r="E120" s="169"/>
      <c r="F120" s="175"/>
      <c r="G120" s="143"/>
      <c r="H120" s="175"/>
      <c r="I120" s="167"/>
      <c r="J120" s="126"/>
      <c r="K120" s="175"/>
      <c r="L120" s="167"/>
      <c r="M120" s="175"/>
      <c r="N120" s="167"/>
      <c r="O120" s="175"/>
      <c r="P120" s="167"/>
      <c r="Q120" s="170">
        <f>IF(COUNTIF($B$8:$B207,$B120)=1,1,0)</f>
        <v>0</v>
      </c>
      <c r="R120" s="171">
        <f>IFERROR((COUNTIF($A:$A,'Client Level Data'!$A120))/COUNTIF($B:$B,$B120),0)</f>
        <v>0</v>
      </c>
      <c r="S120" s="131" t="str">
        <f>IF(SUMIFS($R:$R,$J:$J,"Yes",$B:$B,'Client Level Data'!$B120)&gt;0,"Chronic Flag","")</f>
        <v/>
      </c>
      <c r="T120" s="171" t="str">
        <f>IF(SUMIFS($R:$R,$G:$G,"Yes",$B:$B,'Client Level Data'!$B120)&gt;0,"PY Flag","")</f>
        <v/>
      </c>
      <c r="U120" s="171" t="str">
        <f>IF(SUMIFS($R:$R,$D:$D,"&lt;18",$G:$G,"Yes",$B:$B,'Client Level Data'!$B120)&gt;0,"PY &lt;18",IF(SUMIFS($R:$R,$D:$D,"&gt;17",$D:$D,"&lt;25",$G:$G,"Yes",$B:$B,'Client Level Data'!$B120)&gt;0,"PY &gt;17 &lt;25",""))</f>
        <v/>
      </c>
      <c r="V120" s="172">
        <f>IF('Client Level Data'!$K120="Yes",1,0)+IF('Client Level Data'!$L120="Yes",1,0)+IF('Client Level Data'!$M120="Yes",1,0)</f>
        <v>0</v>
      </c>
      <c r="W120" s="172" t="str">
        <f>IF(SUMIFS($R:$R,$F:$F,"Yes",$B:$B,'Client Level Data'!$B120)&gt;0,"Vet Flag","")</f>
        <v/>
      </c>
      <c r="X120" s="133">
        <f t="shared" si="33"/>
        <v>0</v>
      </c>
      <c r="Y120" s="133" t="e">
        <f t="shared" si="34"/>
        <v>#N/A</v>
      </c>
      <c r="Z120" s="133" t="e">
        <f t="shared" si="35"/>
        <v>#N/A</v>
      </c>
      <c r="AA120" s="133">
        <f t="shared" si="36"/>
        <v>0</v>
      </c>
      <c r="AB120" s="133" t="str">
        <f>IF(SUMIFS($R:$R,$H:$H,"Yes",$B:$B,'Client Level Data'!$B120)&gt;0,"CPY Flag","")</f>
        <v/>
      </c>
      <c r="AC120" s="133" t="str">
        <f t="shared" si="37"/>
        <v>N/A</v>
      </c>
      <c r="AD120" s="133">
        <f t="shared" si="38"/>
        <v>200</v>
      </c>
      <c r="AE120" s="133" t="str">
        <f t="shared" si="39"/>
        <v>Child</v>
      </c>
      <c r="AF120" s="133">
        <f t="shared" si="40"/>
        <v>200</v>
      </c>
      <c r="AG120" s="133" t="str">
        <f t="shared" si="41"/>
        <v>True</v>
      </c>
      <c r="AH120" s="133">
        <f t="shared" si="42"/>
        <v>200</v>
      </c>
      <c r="AI120" s="133" t="str">
        <f t="shared" si="43"/>
        <v>False</v>
      </c>
    </row>
    <row r="121" spans="1:35" ht="15.75" customHeight="1" x14ac:dyDescent="0.25">
      <c r="A121" s="192">
        <v>214</v>
      </c>
      <c r="B121" s="115"/>
      <c r="C121" s="177"/>
      <c r="D121" s="122"/>
      <c r="E121" s="184"/>
      <c r="F121" s="115"/>
      <c r="G121" s="185"/>
      <c r="H121" s="115"/>
      <c r="I121" s="177"/>
      <c r="J121" s="179"/>
      <c r="K121" s="115"/>
      <c r="L121" s="185"/>
      <c r="M121" s="115"/>
      <c r="N121" s="185"/>
      <c r="O121" s="115"/>
      <c r="P121" s="177"/>
      <c r="Q121" s="166">
        <f>IF(COUNTIF($B$8:$B207,$B121)=1,1,0)</f>
        <v>0</v>
      </c>
      <c r="R121" s="165">
        <f>IFERROR((COUNTIF($A:$A,'Client Level Data'!$A121))/COUNTIF($B:$B,$B121),0)</f>
        <v>0</v>
      </c>
      <c r="S121" s="22" t="str">
        <f>IF(SUMIFS($R:$R,$J:$J,"Yes",$B:$B,'Client Level Data'!$B121)&gt;0,"Chronic Flag","")</f>
        <v/>
      </c>
      <c r="T121" s="165" t="str">
        <f>IF(SUMIFS($R:$R,$G:$G,"Yes",$B:$B,'Client Level Data'!$B121)&gt;0,"PY Flag","")</f>
        <v/>
      </c>
      <c r="U121" s="165" t="str">
        <f>IF(SUMIFS($R:$R,$D:$D,"&lt;18",$G:$G,"Yes",$B:$B,'Client Level Data'!$B121)&gt;0,"PY &lt;18",IF(SUMIFS($R:$R,$D:$D,"&gt;17",$D:$D,"&lt;25",$G:$G,"Yes",$B:$B,'Client Level Data'!$B121)&gt;0,"PY &gt;17 &lt;25",""))</f>
        <v/>
      </c>
      <c r="V121" s="1">
        <f>IF('Client Level Data'!$K121="Yes",1,0)+IF('Client Level Data'!$L121="Yes",1,0)+IF('Client Level Data'!$M121="Yes",1,0)</f>
        <v>0</v>
      </c>
      <c r="W121" s="1" t="str">
        <f>IF(SUMIFS($R:$R,$F:$F,"Yes",$B:$B,'Client Level Data'!$B121)&gt;0,"Vet Flag","")</f>
        <v/>
      </c>
      <c r="X121" s="12">
        <f t="shared" si="33"/>
        <v>0</v>
      </c>
      <c r="Y121" s="12" t="e">
        <f t="shared" si="34"/>
        <v>#N/A</v>
      </c>
      <c r="Z121" s="12" t="e">
        <f t="shared" si="35"/>
        <v>#N/A</v>
      </c>
      <c r="AA121" s="12">
        <f t="shared" si="36"/>
        <v>0</v>
      </c>
      <c r="AB121" s="12" t="str">
        <f>IF(SUMIFS($R:$R,$H:$H,"Yes",$B:$B,'Client Level Data'!$B121)&gt;0,"CPY Flag","")</f>
        <v/>
      </c>
      <c r="AC121" s="12" t="str">
        <f t="shared" si="37"/>
        <v>N/A</v>
      </c>
      <c r="AD121" s="12">
        <f t="shared" si="38"/>
        <v>200</v>
      </c>
      <c r="AE121" s="12" t="str">
        <f t="shared" si="39"/>
        <v>Child</v>
      </c>
      <c r="AF121" s="12">
        <f t="shared" si="40"/>
        <v>200</v>
      </c>
      <c r="AG121" s="12" t="str">
        <f t="shared" si="41"/>
        <v>True</v>
      </c>
      <c r="AH121" s="12">
        <f t="shared" si="42"/>
        <v>200</v>
      </c>
      <c r="AI121" s="12" t="str">
        <f t="shared" si="43"/>
        <v>False</v>
      </c>
    </row>
    <row r="122" spans="1:35" s="133" customFormat="1" ht="15.75" customHeight="1" x14ac:dyDescent="0.25">
      <c r="A122" s="193">
        <v>215</v>
      </c>
      <c r="B122" s="175"/>
      <c r="C122" s="167"/>
      <c r="D122" s="168"/>
      <c r="E122" s="169"/>
      <c r="F122" s="175"/>
      <c r="G122" s="143"/>
      <c r="H122" s="175"/>
      <c r="I122" s="167"/>
      <c r="J122" s="126"/>
      <c r="K122" s="175"/>
      <c r="L122" s="167"/>
      <c r="M122" s="175"/>
      <c r="N122" s="167"/>
      <c r="O122" s="175"/>
      <c r="P122" s="167"/>
      <c r="Q122" s="170">
        <f>IF(COUNTIF($B$8:$B207,$B122)=1,1,0)</f>
        <v>0</v>
      </c>
      <c r="R122" s="171">
        <f>IFERROR((COUNTIF($A:$A,'Client Level Data'!$A122))/COUNTIF($B:$B,$B122),0)</f>
        <v>0</v>
      </c>
      <c r="S122" s="131" t="str">
        <f>IF(SUMIFS($R:$R,$J:$J,"Yes",$B:$B,'Client Level Data'!$B122)&gt;0,"Chronic Flag","")</f>
        <v/>
      </c>
      <c r="T122" s="171" t="str">
        <f>IF(SUMIFS($R:$R,$G:$G,"Yes",$B:$B,'Client Level Data'!$B122)&gt;0,"PY Flag","")</f>
        <v/>
      </c>
      <c r="U122" s="171" t="str">
        <f>IF(SUMIFS($R:$R,$D:$D,"&lt;18",$G:$G,"Yes",$B:$B,'Client Level Data'!$B122)&gt;0,"PY &lt;18",IF(SUMIFS($R:$R,$D:$D,"&gt;17",$D:$D,"&lt;25",$G:$G,"Yes",$B:$B,'Client Level Data'!$B122)&gt;0,"PY &gt;17 &lt;25",""))</f>
        <v/>
      </c>
      <c r="V122" s="172">
        <f>IF('Client Level Data'!$K122="Yes",1,0)+IF('Client Level Data'!$L122="Yes",1,0)+IF('Client Level Data'!$M122="Yes",1,0)</f>
        <v>0</v>
      </c>
      <c r="W122" s="172" t="str">
        <f>IF(SUMIFS($R:$R,$F:$F,"Yes",$B:$B,'Client Level Data'!$B122)&gt;0,"Vet Flag","")</f>
        <v/>
      </c>
      <c r="X122" s="133">
        <f t="shared" si="33"/>
        <v>0</v>
      </c>
      <c r="Y122" s="133" t="e">
        <f t="shared" si="34"/>
        <v>#N/A</v>
      </c>
      <c r="Z122" s="133" t="e">
        <f t="shared" si="35"/>
        <v>#N/A</v>
      </c>
      <c r="AA122" s="133">
        <f t="shared" si="36"/>
        <v>0</v>
      </c>
      <c r="AB122" s="133" t="str">
        <f>IF(SUMIFS($R:$R,$H:$H,"Yes",$B:$B,'Client Level Data'!$B122)&gt;0,"CPY Flag","")</f>
        <v/>
      </c>
      <c r="AC122" s="133" t="str">
        <f t="shared" si="37"/>
        <v>N/A</v>
      </c>
      <c r="AD122" s="133">
        <f t="shared" si="38"/>
        <v>200</v>
      </c>
      <c r="AE122" s="133" t="str">
        <f t="shared" si="39"/>
        <v>Child</v>
      </c>
      <c r="AF122" s="133">
        <f t="shared" si="40"/>
        <v>200</v>
      </c>
      <c r="AG122" s="133" t="str">
        <f t="shared" si="41"/>
        <v>True</v>
      </c>
      <c r="AH122" s="133">
        <f t="shared" si="42"/>
        <v>200</v>
      </c>
      <c r="AI122" s="133" t="str">
        <f t="shared" si="43"/>
        <v>False</v>
      </c>
    </row>
    <row r="123" spans="1:35" ht="15.75" customHeight="1" x14ac:dyDescent="0.25">
      <c r="A123" s="192">
        <v>216</v>
      </c>
      <c r="B123" s="115"/>
      <c r="C123" s="177"/>
      <c r="D123" s="122"/>
      <c r="E123" s="184"/>
      <c r="F123" s="115"/>
      <c r="G123" s="185"/>
      <c r="H123" s="115"/>
      <c r="I123" s="177"/>
      <c r="J123" s="179"/>
      <c r="K123" s="115"/>
      <c r="L123" s="185"/>
      <c r="M123" s="115"/>
      <c r="N123" s="185"/>
      <c r="O123" s="115"/>
      <c r="P123" s="177"/>
      <c r="Q123" s="166">
        <f>IF(COUNTIF($B$8:$B207,$B123)=1,1,0)</f>
        <v>0</v>
      </c>
      <c r="R123" s="165">
        <f>IFERROR((COUNTIF($A:$A,'Client Level Data'!$A123))/COUNTIF($B:$B,$B123),0)</f>
        <v>0</v>
      </c>
      <c r="S123" s="22" t="str">
        <f>IF(SUMIFS($R:$R,$J:$J,"Yes",$B:$B,'Client Level Data'!$B123)&gt;0,"Chronic Flag","")</f>
        <v/>
      </c>
      <c r="T123" s="165" t="str">
        <f>IF(SUMIFS($R:$R,$G:$G,"Yes",$B:$B,'Client Level Data'!$B123)&gt;0,"PY Flag","")</f>
        <v/>
      </c>
      <c r="U123" s="165" t="str">
        <f>IF(SUMIFS($R:$R,$D:$D,"&lt;18",$G:$G,"Yes",$B:$B,'Client Level Data'!$B123)&gt;0,"PY &lt;18",IF(SUMIFS($R:$R,$D:$D,"&gt;17",$D:$D,"&lt;25",$G:$G,"Yes",$B:$B,'Client Level Data'!$B123)&gt;0,"PY &gt;17 &lt;25",""))</f>
        <v/>
      </c>
      <c r="V123" s="1">
        <f>IF('Client Level Data'!$K123="Yes",1,0)+IF('Client Level Data'!$L123="Yes",1,0)+IF('Client Level Data'!$M123="Yes",1,0)</f>
        <v>0</v>
      </c>
      <c r="W123" s="1" t="str">
        <f>IF(SUMIFS($R:$R,$F:$F,"Yes",$B:$B,'Client Level Data'!$B123)&gt;0,"Vet Flag","")</f>
        <v/>
      </c>
      <c r="X123" s="12">
        <f t="shared" si="33"/>
        <v>0</v>
      </c>
      <c r="Y123" s="12" t="e">
        <f t="shared" si="34"/>
        <v>#N/A</v>
      </c>
      <c r="Z123" s="12" t="e">
        <f t="shared" si="35"/>
        <v>#N/A</v>
      </c>
      <c r="AA123" s="12">
        <f t="shared" si="36"/>
        <v>0</v>
      </c>
      <c r="AB123" s="12" t="str">
        <f>IF(SUMIFS($R:$R,$H:$H,"Yes",$B:$B,'Client Level Data'!$B123)&gt;0,"CPY Flag","")</f>
        <v/>
      </c>
      <c r="AC123" s="12" t="str">
        <f t="shared" si="37"/>
        <v>N/A</v>
      </c>
      <c r="AD123" s="12">
        <f t="shared" si="38"/>
        <v>200</v>
      </c>
      <c r="AE123" s="12" t="str">
        <f t="shared" si="39"/>
        <v>Child</v>
      </c>
      <c r="AF123" s="12">
        <f t="shared" si="40"/>
        <v>200</v>
      </c>
      <c r="AG123" s="12" t="str">
        <f t="shared" si="41"/>
        <v>True</v>
      </c>
      <c r="AH123" s="12">
        <f t="shared" si="42"/>
        <v>200</v>
      </c>
      <c r="AI123" s="12" t="str">
        <f t="shared" si="43"/>
        <v>False</v>
      </c>
    </row>
    <row r="124" spans="1:35" s="133" customFormat="1" ht="15.75" customHeight="1" x14ac:dyDescent="0.25">
      <c r="A124" s="193">
        <v>217</v>
      </c>
      <c r="B124" s="175"/>
      <c r="C124" s="167"/>
      <c r="D124" s="168"/>
      <c r="E124" s="169"/>
      <c r="F124" s="175"/>
      <c r="G124" s="143"/>
      <c r="H124" s="175"/>
      <c r="I124" s="167"/>
      <c r="J124" s="126"/>
      <c r="K124" s="175"/>
      <c r="L124" s="167"/>
      <c r="M124" s="175"/>
      <c r="N124" s="167"/>
      <c r="O124" s="175"/>
      <c r="P124" s="167"/>
      <c r="Q124" s="170">
        <f>IF(COUNTIF($B$8:$B207,$B124)=1,1,0)</f>
        <v>0</v>
      </c>
      <c r="R124" s="171">
        <f>IFERROR((COUNTIF($A:$A,'Client Level Data'!$A124))/COUNTIF($B:$B,$B124),0)</f>
        <v>0</v>
      </c>
      <c r="S124" s="131" t="str">
        <f>IF(SUMIFS($R:$R,$J:$J,"Yes",$B:$B,'Client Level Data'!$B124)&gt;0,"Chronic Flag","")</f>
        <v/>
      </c>
      <c r="T124" s="171" t="str">
        <f>IF(SUMIFS($R:$R,$G:$G,"Yes",$B:$B,'Client Level Data'!$B124)&gt;0,"PY Flag","")</f>
        <v/>
      </c>
      <c r="U124" s="171" t="str">
        <f>IF(SUMIFS($R:$R,$D:$D,"&lt;18",$G:$G,"Yes",$B:$B,'Client Level Data'!$B124)&gt;0,"PY &lt;18",IF(SUMIFS($R:$R,$D:$D,"&gt;17",$D:$D,"&lt;25",$G:$G,"Yes",$B:$B,'Client Level Data'!$B124)&gt;0,"PY &gt;17 &lt;25",""))</f>
        <v/>
      </c>
      <c r="V124" s="172">
        <f>IF('Client Level Data'!$K124="Yes",1,0)+IF('Client Level Data'!$L124="Yes",1,0)+IF('Client Level Data'!$M124="Yes",1,0)</f>
        <v>0</v>
      </c>
      <c r="W124" s="172" t="str">
        <f>IF(SUMIFS($R:$R,$F:$F,"Yes",$B:$B,'Client Level Data'!$B124)&gt;0,"Vet Flag","")</f>
        <v/>
      </c>
      <c r="X124" s="133">
        <f t="shared" si="33"/>
        <v>0</v>
      </c>
      <c r="Y124" s="133" t="e">
        <f t="shared" si="34"/>
        <v>#N/A</v>
      </c>
      <c r="Z124" s="133" t="e">
        <f t="shared" si="35"/>
        <v>#N/A</v>
      </c>
      <c r="AA124" s="133">
        <f t="shared" si="36"/>
        <v>0</v>
      </c>
      <c r="AB124" s="133" t="str">
        <f>IF(SUMIFS($R:$R,$H:$H,"Yes",$B:$B,'Client Level Data'!$B124)&gt;0,"CPY Flag","")</f>
        <v/>
      </c>
      <c r="AC124" s="133" t="str">
        <f t="shared" si="37"/>
        <v>N/A</v>
      </c>
      <c r="AD124" s="133">
        <f t="shared" si="38"/>
        <v>200</v>
      </c>
      <c r="AE124" s="133" t="str">
        <f t="shared" si="39"/>
        <v>Child</v>
      </c>
      <c r="AF124" s="133">
        <f t="shared" si="40"/>
        <v>200</v>
      </c>
      <c r="AG124" s="133" t="str">
        <f t="shared" si="41"/>
        <v>True</v>
      </c>
      <c r="AH124" s="133">
        <f t="shared" si="42"/>
        <v>200</v>
      </c>
      <c r="AI124" s="133" t="str">
        <f t="shared" si="43"/>
        <v>False</v>
      </c>
    </row>
    <row r="125" spans="1:35" ht="15.75" customHeight="1" x14ac:dyDescent="0.25">
      <c r="A125" s="192">
        <v>218</v>
      </c>
      <c r="B125" s="115"/>
      <c r="C125" s="177"/>
      <c r="D125" s="122"/>
      <c r="E125" s="184"/>
      <c r="F125" s="115"/>
      <c r="G125" s="185"/>
      <c r="H125" s="115"/>
      <c r="I125" s="177"/>
      <c r="J125" s="179"/>
      <c r="K125" s="115"/>
      <c r="L125" s="185"/>
      <c r="M125" s="115"/>
      <c r="N125" s="185"/>
      <c r="O125" s="115"/>
      <c r="P125" s="177"/>
      <c r="Q125" s="166">
        <f>IF(COUNTIF($B$8:$B207,$B125)=1,1,0)</f>
        <v>0</v>
      </c>
      <c r="R125" s="165">
        <f>IFERROR((COUNTIF($A:$A,'Client Level Data'!$A125))/COUNTIF($B:$B,$B125),0)</f>
        <v>0</v>
      </c>
      <c r="S125" s="22" t="str">
        <f>IF(SUMIFS($R:$R,$J:$J,"Yes",$B:$B,'Client Level Data'!$B125)&gt;0,"Chronic Flag","")</f>
        <v/>
      </c>
      <c r="T125" s="165" t="str">
        <f>IF(SUMIFS($R:$R,$G:$G,"Yes",$B:$B,'Client Level Data'!$B125)&gt;0,"PY Flag","")</f>
        <v/>
      </c>
      <c r="U125" s="165" t="str">
        <f>IF(SUMIFS($R:$R,$D:$D,"&lt;18",$G:$G,"Yes",$B:$B,'Client Level Data'!$B125)&gt;0,"PY &lt;18",IF(SUMIFS($R:$R,$D:$D,"&gt;17",$D:$D,"&lt;25",$G:$G,"Yes",$B:$B,'Client Level Data'!$B125)&gt;0,"PY &gt;17 &lt;25",""))</f>
        <v/>
      </c>
      <c r="V125" s="1">
        <f>IF('Client Level Data'!$K125="Yes",1,0)+IF('Client Level Data'!$L125="Yes",1,0)+IF('Client Level Data'!$M125="Yes",1,0)</f>
        <v>0</v>
      </c>
      <c r="W125" s="1" t="str">
        <f>IF(SUMIFS($R:$R,$F:$F,"Yes",$B:$B,'Client Level Data'!$B125)&gt;0,"Vet Flag","")</f>
        <v/>
      </c>
      <c r="X125" s="12">
        <f t="shared" si="33"/>
        <v>0</v>
      </c>
      <c r="Y125" s="12" t="e">
        <f t="shared" si="34"/>
        <v>#N/A</v>
      </c>
      <c r="Z125" s="12" t="e">
        <f t="shared" si="35"/>
        <v>#N/A</v>
      </c>
      <c r="AA125" s="12">
        <f t="shared" si="36"/>
        <v>0</v>
      </c>
      <c r="AB125" s="12" t="str">
        <f>IF(SUMIFS($R:$R,$H:$H,"Yes",$B:$B,'Client Level Data'!$B125)&gt;0,"CPY Flag","")</f>
        <v/>
      </c>
      <c r="AC125" s="12" t="str">
        <f t="shared" si="37"/>
        <v>N/A</v>
      </c>
      <c r="AD125" s="12">
        <f t="shared" si="38"/>
        <v>200</v>
      </c>
      <c r="AE125" s="12" t="str">
        <f t="shared" si="39"/>
        <v>Child</v>
      </c>
      <c r="AF125" s="12">
        <f t="shared" si="40"/>
        <v>200</v>
      </c>
      <c r="AG125" s="12" t="str">
        <f t="shared" si="41"/>
        <v>True</v>
      </c>
      <c r="AH125" s="12">
        <f t="shared" si="42"/>
        <v>200</v>
      </c>
      <c r="AI125" s="12" t="str">
        <f t="shared" si="43"/>
        <v>False</v>
      </c>
    </row>
    <row r="126" spans="1:35" s="133" customFormat="1" ht="15.75" customHeight="1" x14ac:dyDescent="0.25">
      <c r="A126" s="193">
        <v>219</v>
      </c>
      <c r="B126" s="175"/>
      <c r="C126" s="167"/>
      <c r="D126" s="168"/>
      <c r="E126" s="169"/>
      <c r="F126" s="175"/>
      <c r="G126" s="143"/>
      <c r="H126" s="175"/>
      <c r="I126" s="167"/>
      <c r="J126" s="126"/>
      <c r="K126" s="175"/>
      <c r="L126" s="167"/>
      <c r="M126" s="175"/>
      <c r="N126" s="167"/>
      <c r="O126" s="175"/>
      <c r="P126" s="167"/>
      <c r="Q126" s="170">
        <f>IF(COUNTIF($B$8:$B207,$B126)=1,1,0)</f>
        <v>0</v>
      </c>
      <c r="R126" s="171">
        <f>IFERROR((COUNTIF($A:$A,'Client Level Data'!$A126))/COUNTIF($B:$B,$B126),0)</f>
        <v>0</v>
      </c>
      <c r="S126" s="131" t="str">
        <f>IF(SUMIFS($R:$R,$J:$J,"Yes",$B:$B,'Client Level Data'!$B126)&gt;0,"Chronic Flag","")</f>
        <v/>
      </c>
      <c r="T126" s="171" t="str">
        <f>IF(SUMIFS($R:$R,$G:$G,"Yes",$B:$B,'Client Level Data'!$B126)&gt;0,"PY Flag","")</f>
        <v/>
      </c>
      <c r="U126" s="171" t="str">
        <f>IF(SUMIFS($R:$R,$D:$D,"&lt;18",$G:$G,"Yes",$B:$B,'Client Level Data'!$B126)&gt;0,"PY &lt;18",IF(SUMIFS($R:$R,$D:$D,"&gt;17",$D:$D,"&lt;25",$G:$G,"Yes",$B:$B,'Client Level Data'!$B126)&gt;0,"PY &gt;17 &lt;25",""))</f>
        <v/>
      </c>
      <c r="V126" s="172">
        <f>IF('Client Level Data'!$K126="Yes",1,0)+IF('Client Level Data'!$L126="Yes",1,0)+IF('Client Level Data'!$M126="Yes",1,0)</f>
        <v>0</v>
      </c>
      <c r="W126" s="172" t="str">
        <f>IF(SUMIFS($R:$R,$F:$F,"Yes",$B:$B,'Client Level Data'!$B126)&gt;0,"Vet Flag","")</f>
        <v/>
      </c>
      <c r="X126" s="133">
        <f t="shared" si="33"/>
        <v>0</v>
      </c>
      <c r="Y126" s="133" t="e">
        <f t="shared" si="34"/>
        <v>#N/A</v>
      </c>
      <c r="Z126" s="133" t="e">
        <f t="shared" si="35"/>
        <v>#N/A</v>
      </c>
      <c r="AA126" s="133">
        <f t="shared" si="36"/>
        <v>0</v>
      </c>
      <c r="AB126" s="133" t="str">
        <f>IF(SUMIFS($R:$R,$H:$H,"Yes",$B:$B,'Client Level Data'!$B126)&gt;0,"CPY Flag","")</f>
        <v/>
      </c>
      <c r="AC126" s="133" t="str">
        <f t="shared" si="37"/>
        <v>N/A</v>
      </c>
      <c r="AD126" s="133">
        <f t="shared" si="38"/>
        <v>200</v>
      </c>
      <c r="AE126" s="133" t="str">
        <f t="shared" si="39"/>
        <v>Child</v>
      </c>
      <c r="AF126" s="133">
        <f t="shared" si="40"/>
        <v>200</v>
      </c>
      <c r="AG126" s="133" t="str">
        <f t="shared" si="41"/>
        <v>True</v>
      </c>
      <c r="AH126" s="133">
        <f t="shared" si="42"/>
        <v>200</v>
      </c>
      <c r="AI126" s="133" t="str">
        <f t="shared" si="43"/>
        <v>False</v>
      </c>
    </row>
    <row r="127" spans="1:35" ht="15.75" customHeight="1" x14ac:dyDescent="0.25">
      <c r="A127" s="192">
        <v>220</v>
      </c>
      <c r="B127" s="115"/>
      <c r="C127" s="177"/>
      <c r="D127" s="122"/>
      <c r="E127" s="184"/>
      <c r="F127" s="115"/>
      <c r="G127" s="185"/>
      <c r="H127" s="115"/>
      <c r="I127" s="177"/>
      <c r="J127" s="179"/>
      <c r="K127" s="115"/>
      <c r="L127" s="185"/>
      <c r="M127" s="115"/>
      <c r="N127" s="185"/>
      <c r="O127" s="115"/>
      <c r="P127" s="177"/>
      <c r="Q127" s="166">
        <f>IF(COUNTIF($B$8:$B207,$B127)=1,1,0)</f>
        <v>0</v>
      </c>
      <c r="R127" s="165">
        <f>IFERROR((COUNTIF($A:$A,'Client Level Data'!$A127))/COUNTIF($B:$B,$B127),0)</f>
        <v>0</v>
      </c>
      <c r="S127" s="22" t="str">
        <f>IF(SUMIFS($R:$R,$J:$J,"Yes",$B:$B,'Client Level Data'!$B127)&gt;0,"Chronic Flag","")</f>
        <v/>
      </c>
      <c r="T127" s="165" t="str">
        <f>IF(SUMIFS($R:$R,$G:$G,"Yes",$B:$B,'Client Level Data'!$B127)&gt;0,"PY Flag","")</f>
        <v/>
      </c>
      <c r="U127" s="165" t="str">
        <f>IF(SUMIFS($R:$R,$D:$D,"&lt;18",$G:$G,"Yes",$B:$B,'Client Level Data'!$B127)&gt;0,"PY &lt;18",IF(SUMIFS($R:$R,$D:$D,"&gt;17",$D:$D,"&lt;25",$G:$G,"Yes",$B:$B,'Client Level Data'!$B127)&gt;0,"PY &gt;17 &lt;25",""))</f>
        <v/>
      </c>
      <c r="V127" s="1">
        <f>IF('Client Level Data'!$K127="Yes",1,0)+IF('Client Level Data'!$L127="Yes",1,0)+IF('Client Level Data'!$M127="Yes",1,0)</f>
        <v>0</v>
      </c>
      <c r="W127" s="1" t="str">
        <f>IF(SUMIFS($R:$R,$F:$F,"Yes",$B:$B,'Client Level Data'!$B127)&gt;0,"Vet Flag","")</f>
        <v/>
      </c>
      <c r="X127" s="12">
        <f t="shared" si="33"/>
        <v>0</v>
      </c>
      <c r="Y127" s="12" t="e">
        <f t="shared" si="34"/>
        <v>#N/A</v>
      </c>
      <c r="Z127" s="12" t="e">
        <f t="shared" si="35"/>
        <v>#N/A</v>
      </c>
      <c r="AA127" s="12">
        <f t="shared" si="36"/>
        <v>0</v>
      </c>
      <c r="AB127" s="12" t="str">
        <f>IF(SUMIFS($R:$R,$H:$H,"Yes",$B:$B,'Client Level Data'!$B127)&gt;0,"CPY Flag","")</f>
        <v/>
      </c>
      <c r="AC127" s="12" t="str">
        <f t="shared" si="37"/>
        <v>N/A</v>
      </c>
      <c r="AD127" s="12">
        <f t="shared" si="38"/>
        <v>200</v>
      </c>
      <c r="AE127" s="12" t="str">
        <f t="shared" si="39"/>
        <v>Child</v>
      </c>
      <c r="AF127" s="12">
        <f t="shared" si="40"/>
        <v>200</v>
      </c>
      <c r="AG127" s="12" t="str">
        <f t="shared" si="41"/>
        <v>True</v>
      </c>
      <c r="AH127" s="12">
        <f t="shared" si="42"/>
        <v>200</v>
      </c>
      <c r="AI127" s="12" t="str">
        <f t="shared" si="43"/>
        <v>False</v>
      </c>
    </row>
    <row r="128" spans="1:35" s="133" customFormat="1" ht="15.75" customHeight="1" x14ac:dyDescent="0.25">
      <c r="A128" s="193">
        <v>221</v>
      </c>
      <c r="B128" s="175"/>
      <c r="C128" s="167"/>
      <c r="D128" s="168"/>
      <c r="E128" s="169"/>
      <c r="F128" s="175"/>
      <c r="G128" s="143"/>
      <c r="H128" s="175"/>
      <c r="I128" s="167"/>
      <c r="J128" s="126"/>
      <c r="K128" s="175"/>
      <c r="L128" s="143"/>
      <c r="M128" s="175"/>
      <c r="N128" s="143"/>
      <c r="O128" s="175"/>
      <c r="P128" s="143"/>
      <c r="Q128" s="170">
        <f>IF(COUNTIF($B$8:$B207,$B128)=1,1,0)</f>
        <v>0</v>
      </c>
      <c r="R128" s="171">
        <f>IFERROR((COUNTIF($A:$A,'Client Level Data'!$A128))/COUNTIF($B:$B,$B128),0)</f>
        <v>0</v>
      </c>
      <c r="S128" s="131" t="str">
        <f>IF(SUMIFS($R:$R,$J:$J,"Yes",$B:$B,'Client Level Data'!$B128)&gt;0,"Chronic Flag","")</f>
        <v/>
      </c>
      <c r="T128" s="171" t="str">
        <f>IF(SUMIFS($R:$R,$G:$G,"Yes",$B:$B,'Client Level Data'!$B128)&gt;0,"PY Flag","")</f>
        <v/>
      </c>
      <c r="U128" s="171" t="str">
        <f>IF(SUMIFS($R:$R,$D:$D,"&lt;18",$G:$G,"Yes",$B:$B,'Client Level Data'!$B128)&gt;0,"PY &lt;18",IF(SUMIFS($R:$R,$D:$D,"&gt;17",$D:$D,"&lt;25",$G:$G,"Yes",$B:$B,'Client Level Data'!$B128)&gt;0,"PY &gt;17 &lt;25",""))</f>
        <v/>
      </c>
      <c r="V128" s="172">
        <f>IF('Client Level Data'!$K128="Yes",1,0)+IF('Client Level Data'!$L128="Yes",1,0)+IF('Client Level Data'!$M128="Yes",1,0)</f>
        <v>0</v>
      </c>
      <c r="W128" s="172" t="str">
        <f>IF(SUMIFS($R:$R,$F:$F,"Yes",$B:$B,'Client Level Data'!$B128)&gt;0,"Vet Flag","")</f>
        <v/>
      </c>
      <c r="X128" s="133">
        <f t="shared" si="33"/>
        <v>0</v>
      </c>
      <c r="Y128" s="133" t="e">
        <f t="shared" si="34"/>
        <v>#N/A</v>
      </c>
      <c r="Z128" s="133" t="e">
        <f t="shared" si="35"/>
        <v>#N/A</v>
      </c>
      <c r="AA128" s="133">
        <f t="shared" si="36"/>
        <v>0</v>
      </c>
      <c r="AB128" s="133" t="str">
        <f>IF(SUMIFS($R:$R,$H:$H,"Yes",$B:$B,'Client Level Data'!$B128)&gt;0,"CPY Flag","")</f>
        <v/>
      </c>
      <c r="AC128" s="133" t="str">
        <f t="shared" si="37"/>
        <v>N/A</v>
      </c>
      <c r="AD128" s="133">
        <f t="shared" si="38"/>
        <v>200</v>
      </c>
      <c r="AE128" s="133" t="str">
        <f t="shared" si="39"/>
        <v>Child</v>
      </c>
      <c r="AF128" s="133">
        <f t="shared" si="40"/>
        <v>200</v>
      </c>
      <c r="AG128" s="133" t="str">
        <f t="shared" si="41"/>
        <v>True</v>
      </c>
      <c r="AH128" s="133">
        <f t="shared" si="42"/>
        <v>200</v>
      </c>
      <c r="AI128" s="133" t="str">
        <f t="shared" si="43"/>
        <v>False</v>
      </c>
    </row>
    <row r="129" spans="1:35" ht="15.75" customHeight="1" x14ac:dyDescent="0.25">
      <c r="A129" s="192">
        <v>222</v>
      </c>
      <c r="B129" s="115"/>
      <c r="C129" s="177"/>
      <c r="D129" s="122"/>
      <c r="E129" s="184"/>
      <c r="F129" s="115"/>
      <c r="G129" s="185"/>
      <c r="H129" s="115"/>
      <c r="I129" s="177"/>
      <c r="J129" s="179"/>
      <c r="K129" s="115"/>
      <c r="L129" s="185"/>
      <c r="M129" s="115"/>
      <c r="N129" s="185"/>
      <c r="O129" s="115"/>
      <c r="P129" s="177"/>
      <c r="Q129" s="166">
        <f>IF(COUNTIF($B$8:$B207,$B129)=1,1,0)</f>
        <v>0</v>
      </c>
      <c r="R129" s="165">
        <f>IFERROR((COUNTIF($A:$A,'Client Level Data'!$A129))/COUNTIF($B:$B,$B129),0)</f>
        <v>0</v>
      </c>
      <c r="S129" s="22" t="str">
        <f>IF(SUMIFS($R:$R,$J:$J,"Yes",$B:$B,'Client Level Data'!$B129)&gt;0,"Chronic Flag","")</f>
        <v/>
      </c>
      <c r="T129" s="165" t="str">
        <f>IF(SUMIFS($R:$R,$G:$G,"Yes",$B:$B,'Client Level Data'!$B129)&gt;0,"PY Flag","")</f>
        <v/>
      </c>
      <c r="U129" s="165" t="str">
        <f>IF(SUMIFS($R:$R,$D:$D,"&lt;18",$G:$G,"Yes",$B:$B,'Client Level Data'!$B129)&gt;0,"PY &lt;18",IF(SUMIFS($R:$R,$D:$D,"&gt;17",$D:$D,"&lt;25",$G:$G,"Yes",$B:$B,'Client Level Data'!$B129)&gt;0,"PY &gt;17 &lt;25",""))</f>
        <v/>
      </c>
      <c r="V129" s="1">
        <f>IF('Client Level Data'!$K129="Yes",1,0)+IF('Client Level Data'!$L129="Yes",1,0)+IF('Client Level Data'!$M129="Yes",1,0)</f>
        <v>0</v>
      </c>
      <c r="W129" s="1" t="str">
        <f>IF(SUMIFS($R:$R,$F:$F,"Yes",$B:$B,'Client Level Data'!$B129)&gt;0,"Vet Flag","")</f>
        <v/>
      </c>
      <c r="X129" s="12">
        <f t="shared" si="33"/>
        <v>0</v>
      </c>
      <c r="Y129" s="12" t="e">
        <f t="shared" si="34"/>
        <v>#N/A</v>
      </c>
      <c r="Z129" s="12" t="e">
        <f t="shared" si="35"/>
        <v>#N/A</v>
      </c>
      <c r="AA129" s="12">
        <f t="shared" si="36"/>
        <v>0</v>
      </c>
      <c r="AB129" s="12" t="str">
        <f>IF(SUMIFS($R:$R,$H:$H,"Yes",$B:$B,'Client Level Data'!$B129)&gt;0,"CPY Flag","")</f>
        <v/>
      </c>
      <c r="AC129" s="12" t="str">
        <f t="shared" si="37"/>
        <v>N/A</v>
      </c>
      <c r="AD129" s="12">
        <f t="shared" si="38"/>
        <v>200</v>
      </c>
      <c r="AE129" s="12" t="str">
        <f t="shared" si="39"/>
        <v>Child</v>
      </c>
      <c r="AF129" s="12">
        <f t="shared" si="40"/>
        <v>200</v>
      </c>
      <c r="AG129" s="12" t="str">
        <f t="shared" si="41"/>
        <v>True</v>
      </c>
      <c r="AH129" s="12">
        <f t="shared" si="42"/>
        <v>200</v>
      </c>
      <c r="AI129" s="12" t="str">
        <f t="shared" si="43"/>
        <v>False</v>
      </c>
    </row>
    <row r="130" spans="1:35" s="133" customFormat="1" ht="15.75" customHeight="1" x14ac:dyDescent="0.25">
      <c r="A130" s="193">
        <v>223</v>
      </c>
      <c r="B130" s="175"/>
      <c r="C130" s="167"/>
      <c r="D130" s="168"/>
      <c r="E130" s="169"/>
      <c r="F130" s="175"/>
      <c r="G130" s="143"/>
      <c r="H130" s="175"/>
      <c r="I130" s="167"/>
      <c r="J130" s="126"/>
      <c r="K130" s="175"/>
      <c r="L130" s="167"/>
      <c r="M130" s="175"/>
      <c r="N130" s="167"/>
      <c r="O130" s="175"/>
      <c r="P130" s="167"/>
      <c r="Q130" s="170">
        <f>IF(COUNTIF($B$8:$B207,$B130)=1,1,0)</f>
        <v>0</v>
      </c>
      <c r="R130" s="171">
        <f>IFERROR((COUNTIF($A:$A,'Client Level Data'!$A130))/COUNTIF($B:$B,$B130),0)</f>
        <v>0</v>
      </c>
      <c r="S130" s="131" t="str">
        <f>IF(SUMIFS($R:$R,$J:$J,"Yes",$B:$B,'Client Level Data'!$B130)&gt;0,"Chronic Flag","")</f>
        <v/>
      </c>
      <c r="T130" s="171" t="str">
        <f>IF(SUMIFS($R:$R,$G:$G,"Yes",$B:$B,'Client Level Data'!$B130)&gt;0,"PY Flag","")</f>
        <v/>
      </c>
      <c r="U130" s="171" t="str">
        <f>IF(SUMIFS($R:$R,$D:$D,"&lt;18",$G:$G,"Yes",$B:$B,'Client Level Data'!$B130)&gt;0,"PY &lt;18",IF(SUMIFS($R:$R,$D:$D,"&gt;17",$D:$D,"&lt;25",$G:$G,"Yes",$B:$B,'Client Level Data'!$B130)&gt;0,"PY &gt;17 &lt;25",""))</f>
        <v/>
      </c>
      <c r="V130" s="172">
        <f>IF('Client Level Data'!$K130="Yes",1,0)+IF('Client Level Data'!$L130="Yes",1,0)+IF('Client Level Data'!$M130="Yes",1,0)</f>
        <v>0</v>
      </c>
      <c r="W130" s="172" t="str">
        <f>IF(SUMIFS($R:$R,$F:$F,"Yes",$B:$B,'Client Level Data'!$B130)&gt;0,"Vet Flag","")</f>
        <v/>
      </c>
      <c r="X130" s="133">
        <f t="shared" si="33"/>
        <v>0</v>
      </c>
      <c r="Y130" s="133" t="e">
        <f t="shared" si="34"/>
        <v>#N/A</v>
      </c>
      <c r="Z130" s="133" t="e">
        <f t="shared" si="35"/>
        <v>#N/A</v>
      </c>
      <c r="AA130" s="133">
        <f t="shared" si="36"/>
        <v>0</v>
      </c>
      <c r="AB130" s="133" t="str">
        <f>IF(SUMIFS($R:$R,$H:$H,"Yes",$B:$B,'Client Level Data'!$B130)&gt;0,"CPY Flag","")</f>
        <v/>
      </c>
      <c r="AC130" s="133" t="str">
        <f t="shared" si="37"/>
        <v>N/A</v>
      </c>
      <c r="AD130" s="133">
        <f t="shared" si="38"/>
        <v>200</v>
      </c>
      <c r="AE130" s="133" t="str">
        <f t="shared" si="39"/>
        <v>Child</v>
      </c>
      <c r="AF130" s="133">
        <f t="shared" si="40"/>
        <v>200</v>
      </c>
      <c r="AG130" s="133" t="str">
        <f t="shared" si="41"/>
        <v>True</v>
      </c>
      <c r="AH130" s="133">
        <f t="shared" si="42"/>
        <v>200</v>
      </c>
      <c r="AI130" s="133" t="str">
        <f t="shared" si="43"/>
        <v>False</v>
      </c>
    </row>
    <row r="131" spans="1:35" ht="15.75" customHeight="1" x14ac:dyDescent="0.25">
      <c r="A131" s="194">
        <v>224</v>
      </c>
      <c r="B131" s="115"/>
      <c r="C131" s="177"/>
      <c r="D131" s="122"/>
      <c r="E131" s="184"/>
      <c r="F131" s="115"/>
      <c r="G131" s="185"/>
      <c r="H131" s="115"/>
      <c r="I131" s="177"/>
      <c r="J131" s="179"/>
      <c r="K131" s="115"/>
      <c r="L131" s="185"/>
      <c r="M131" s="115"/>
      <c r="N131" s="185"/>
      <c r="O131" s="115"/>
      <c r="P131" s="177"/>
      <c r="Q131" s="166">
        <f>IF(COUNTIF($B$8:$B207,$B131)=1,1,0)</f>
        <v>0</v>
      </c>
      <c r="R131" s="165">
        <f>IFERROR((COUNTIF($A:$A,'Client Level Data'!$A131))/COUNTIF($B:$B,$B131),0)</f>
        <v>0</v>
      </c>
      <c r="S131" s="22" t="str">
        <f>IF(SUMIFS($R:$R,$J:$J,"Yes",$B:$B,'Client Level Data'!$B131)&gt;0,"Chronic Flag","")</f>
        <v/>
      </c>
      <c r="T131" s="165" t="str">
        <f>IF(SUMIFS($R:$R,$G:$G,"Yes",$B:$B,'Client Level Data'!$B131)&gt;0,"PY Flag","")</f>
        <v/>
      </c>
      <c r="U131" s="165" t="str">
        <f>IF(SUMIFS($R:$R,$D:$D,"&lt;18",$G:$G,"Yes",$B:$B,'Client Level Data'!$B131)&gt;0,"PY &lt;18",IF(SUMIFS($R:$R,$D:$D,"&gt;17",$D:$D,"&lt;25",$G:$G,"Yes",$B:$B,'Client Level Data'!$B131)&gt;0,"PY &gt;17 &lt;25",""))</f>
        <v/>
      </c>
      <c r="V131" s="1">
        <f>IF('Client Level Data'!$K131="Yes",1,0)+IF('Client Level Data'!$L131="Yes",1,0)+IF('Client Level Data'!$M131="Yes",1,0)</f>
        <v>0</v>
      </c>
      <c r="W131" s="1" t="str">
        <f>IF(SUMIFS($R:$R,$F:$F,"Yes",$B:$B,'Client Level Data'!$B131)&gt;0,"Vet Flag","")</f>
        <v/>
      </c>
      <c r="X131" s="12">
        <f t="shared" si="33"/>
        <v>0</v>
      </c>
      <c r="Y131" s="12" t="e">
        <f t="shared" si="34"/>
        <v>#N/A</v>
      </c>
      <c r="Z131" s="12" t="e">
        <f t="shared" si="35"/>
        <v>#N/A</v>
      </c>
      <c r="AA131" s="12">
        <f t="shared" si="36"/>
        <v>0</v>
      </c>
      <c r="AB131" s="12" t="str">
        <f>IF(SUMIFS($R:$R,$H:$H,"Yes",$B:$B,'Client Level Data'!$B131)&gt;0,"CPY Flag","")</f>
        <v/>
      </c>
      <c r="AC131" s="12" t="str">
        <f t="shared" si="37"/>
        <v>N/A</v>
      </c>
      <c r="AD131" s="12">
        <f t="shared" si="38"/>
        <v>200</v>
      </c>
      <c r="AE131" s="12" t="str">
        <f t="shared" si="39"/>
        <v>Child</v>
      </c>
      <c r="AF131" s="12">
        <f t="shared" si="40"/>
        <v>200</v>
      </c>
      <c r="AG131" s="12" t="str">
        <f t="shared" si="41"/>
        <v>True</v>
      </c>
      <c r="AH131" s="12">
        <f t="shared" si="42"/>
        <v>200</v>
      </c>
      <c r="AI131" s="12" t="str">
        <f t="shared" si="43"/>
        <v>False</v>
      </c>
    </row>
    <row r="132" spans="1:35" s="133" customFormat="1" ht="15.75" customHeight="1" x14ac:dyDescent="0.25">
      <c r="A132" s="193">
        <v>225</v>
      </c>
      <c r="B132" s="175"/>
      <c r="C132" s="167"/>
      <c r="D132" s="168"/>
      <c r="E132" s="169"/>
      <c r="F132" s="175"/>
      <c r="G132" s="143"/>
      <c r="H132" s="175"/>
      <c r="I132" s="167"/>
      <c r="J132" s="126"/>
      <c r="K132" s="175"/>
      <c r="L132" s="167"/>
      <c r="M132" s="175"/>
      <c r="N132" s="167"/>
      <c r="O132" s="175"/>
      <c r="P132" s="167"/>
      <c r="Q132" s="170">
        <f>IF(COUNTIF($B$8:$B207,$B132)=1,1,0)</f>
        <v>0</v>
      </c>
      <c r="R132" s="171">
        <f>IFERROR((COUNTIF($A:$A,'Client Level Data'!$A132))/COUNTIF($B:$B,$B132),0)</f>
        <v>0</v>
      </c>
      <c r="S132" s="131" t="str">
        <f>IF(SUMIFS($R:$R,$J:$J,"Yes",$B:$B,'Client Level Data'!$B132)&gt;0,"Chronic Flag","")</f>
        <v/>
      </c>
      <c r="T132" s="171" t="str">
        <f>IF(SUMIFS($R:$R,$G:$G,"Yes",$B:$B,'Client Level Data'!$B132)&gt;0,"PY Flag","")</f>
        <v/>
      </c>
      <c r="U132" s="171" t="str">
        <f>IF(SUMIFS($R:$R,$D:$D,"&lt;18",$G:$G,"Yes",$B:$B,'Client Level Data'!$B132)&gt;0,"PY &lt;18",IF(SUMIFS($R:$R,$D:$D,"&gt;17",$D:$D,"&lt;25",$G:$G,"Yes",$B:$B,'Client Level Data'!$B132)&gt;0,"PY &gt;17 &lt;25",""))</f>
        <v/>
      </c>
      <c r="V132" s="172">
        <f>IF('Client Level Data'!$K132="Yes",1,0)+IF('Client Level Data'!$L132="Yes",1,0)+IF('Client Level Data'!$M132="Yes",1,0)</f>
        <v>0</v>
      </c>
      <c r="W132" s="172" t="str">
        <f>IF(SUMIFS($R:$R,$F:$F,"Yes",$B:$B,'Client Level Data'!$B132)&gt;0,"Vet Flag","")</f>
        <v/>
      </c>
      <c r="X132" s="133">
        <f t="shared" si="33"/>
        <v>0</v>
      </c>
      <c r="Y132" s="133" t="e">
        <f t="shared" si="34"/>
        <v>#N/A</v>
      </c>
      <c r="Z132" s="133" t="e">
        <f t="shared" si="35"/>
        <v>#N/A</v>
      </c>
      <c r="AA132" s="133">
        <f t="shared" si="36"/>
        <v>0</v>
      </c>
      <c r="AB132" s="133" t="str">
        <f>IF(SUMIFS($R:$R,$H:$H,"Yes",$B:$B,'Client Level Data'!$B132)&gt;0,"CPY Flag","")</f>
        <v/>
      </c>
      <c r="AC132" s="133" t="str">
        <f t="shared" si="37"/>
        <v>N/A</v>
      </c>
      <c r="AD132" s="133">
        <f t="shared" si="38"/>
        <v>200</v>
      </c>
      <c r="AE132" s="133" t="str">
        <f t="shared" si="39"/>
        <v>Child</v>
      </c>
      <c r="AF132" s="133">
        <f t="shared" si="40"/>
        <v>200</v>
      </c>
      <c r="AG132" s="133" t="str">
        <f t="shared" si="41"/>
        <v>True</v>
      </c>
      <c r="AH132" s="133">
        <f t="shared" si="42"/>
        <v>200</v>
      </c>
      <c r="AI132" s="133" t="str">
        <f t="shared" si="43"/>
        <v>False</v>
      </c>
    </row>
    <row r="133" spans="1:35" ht="15.75" customHeight="1" x14ac:dyDescent="0.25">
      <c r="A133" s="192">
        <v>226</v>
      </c>
      <c r="B133" s="115"/>
      <c r="C133" s="177"/>
      <c r="D133" s="122"/>
      <c r="E133" s="184"/>
      <c r="F133" s="115"/>
      <c r="G133" s="185"/>
      <c r="H133" s="115"/>
      <c r="I133" s="177"/>
      <c r="J133" s="179"/>
      <c r="K133" s="115"/>
      <c r="L133" s="185"/>
      <c r="M133" s="115"/>
      <c r="N133" s="185"/>
      <c r="O133" s="115"/>
      <c r="P133" s="177"/>
      <c r="Q133" s="166">
        <f>IF(COUNTIF($B$8:$B207,$B133)=1,1,0)</f>
        <v>0</v>
      </c>
      <c r="R133" s="165">
        <f>IFERROR((COUNTIF($A:$A,'Client Level Data'!$A133))/COUNTIF($B:$B,$B133),0)</f>
        <v>0</v>
      </c>
      <c r="S133" s="22" t="str">
        <f>IF(SUMIFS($R:$R,$J:$J,"Yes",$B:$B,'Client Level Data'!$B133)&gt;0,"Chronic Flag","")</f>
        <v/>
      </c>
      <c r="T133" s="165" t="str">
        <f>IF(SUMIFS($R:$R,$G:$G,"Yes",$B:$B,'Client Level Data'!$B133)&gt;0,"PY Flag","")</f>
        <v/>
      </c>
      <c r="U133" s="165" t="str">
        <f>IF(SUMIFS($R:$R,$D:$D,"&lt;18",$G:$G,"Yes",$B:$B,'Client Level Data'!$B133)&gt;0,"PY &lt;18",IF(SUMIFS($R:$R,$D:$D,"&gt;17",$D:$D,"&lt;25",$G:$G,"Yes",$B:$B,'Client Level Data'!$B133)&gt;0,"PY &gt;17 &lt;25",""))</f>
        <v/>
      </c>
      <c r="V133" s="1">
        <f>IF('Client Level Data'!$K133="Yes",1,0)+IF('Client Level Data'!$L133="Yes",1,0)+IF('Client Level Data'!$M133="Yes",1,0)</f>
        <v>0</v>
      </c>
      <c r="W133" s="1" t="str">
        <f>IF(SUMIFS($R:$R,$F:$F,"Yes",$B:$B,'Client Level Data'!$B133)&gt;0,"Vet Flag","")</f>
        <v/>
      </c>
      <c r="X133" s="12">
        <f t="shared" si="33"/>
        <v>0</v>
      </c>
      <c r="Y133" s="12" t="e">
        <f t="shared" si="34"/>
        <v>#N/A</v>
      </c>
      <c r="Z133" s="12" t="e">
        <f t="shared" si="35"/>
        <v>#N/A</v>
      </c>
      <c r="AA133" s="12">
        <f t="shared" si="36"/>
        <v>0</v>
      </c>
      <c r="AB133" s="12" t="str">
        <f>IF(SUMIFS($R:$R,$H:$H,"Yes",$B:$B,'Client Level Data'!$B133)&gt;0,"CPY Flag","")</f>
        <v/>
      </c>
      <c r="AC133" s="12" t="str">
        <f t="shared" si="37"/>
        <v>N/A</v>
      </c>
      <c r="AD133" s="12">
        <f t="shared" si="38"/>
        <v>200</v>
      </c>
      <c r="AE133" s="12" t="str">
        <f t="shared" si="39"/>
        <v>Child</v>
      </c>
      <c r="AF133" s="12">
        <f t="shared" si="40"/>
        <v>200</v>
      </c>
      <c r="AG133" s="12" t="str">
        <f t="shared" si="41"/>
        <v>True</v>
      </c>
      <c r="AH133" s="12">
        <f t="shared" si="42"/>
        <v>200</v>
      </c>
      <c r="AI133" s="12" t="str">
        <f t="shared" si="43"/>
        <v>False</v>
      </c>
    </row>
    <row r="134" spans="1:35" s="133" customFormat="1" ht="15.75" customHeight="1" x14ac:dyDescent="0.25">
      <c r="A134" s="193">
        <v>227</v>
      </c>
      <c r="B134" s="175"/>
      <c r="C134" s="167"/>
      <c r="D134" s="168"/>
      <c r="E134" s="169"/>
      <c r="F134" s="175"/>
      <c r="G134" s="143"/>
      <c r="H134" s="175"/>
      <c r="I134" s="167"/>
      <c r="J134" s="126"/>
      <c r="K134" s="175"/>
      <c r="L134" s="167"/>
      <c r="M134" s="175"/>
      <c r="N134" s="167"/>
      <c r="O134" s="175"/>
      <c r="P134" s="167"/>
      <c r="Q134" s="170">
        <f>IF(COUNTIF($B$8:$B207,$B134)=1,1,0)</f>
        <v>0</v>
      </c>
      <c r="R134" s="171">
        <f>IFERROR((COUNTIF($A:$A,'Client Level Data'!$A134))/COUNTIF($B:$B,$B134),0)</f>
        <v>0</v>
      </c>
      <c r="S134" s="131" t="str">
        <f>IF(SUMIFS($R:$R,$J:$J,"Yes",$B:$B,'Client Level Data'!$B134)&gt;0,"Chronic Flag","")</f>
        <v/>
      </c>
      <c r="T134" s="171" t="str">
        <f>IF(SUMIFS($R:$R,$G:$G,"Yes",$B:$B,'Client Level Data'!$B134)&gt;0,"PY Flag","")</f>
        <v/>
      </c>
      <c r="U134" s="171" t="str">
        <f>IF(SUMIFS($R:$R,$D:$D,"&lt;18",$G:$G,"Yes",$B:$B,'Client Level Data'!$B134)&gt;0,"PY &lt;18",IF(SUMIFS($R:$R,$D:$D,"&gt;17",$D:$D,"&lt;25",$G:$G,"Yes",$B:$B,'Client Level Data'!$B134)&gt;0,"PY &gt;17 &lt;25",""))</f>
        <v/>
      </c>
      <c r="V134" s="172">
        <f>IF('Client Level Data'!$K134="Yes",1,0)+IF('Client Level Data'!$L134="Yes",1,0)+IF('Client Level Data'!$M134="Yes",1,0)</f>
        <v>0</v>
      </c>
      <c r="W134" s="172" t="str">
        <f>IF(SUMIFS($R:$R,$F:$F,"Yes",$B:$B,'Client Level Data'!$B134)&gt;0,"Vet Flag","")</f>
        <v/>
      </c>
      <c r="X134" s="133">
        <f t="shared" si="33"/>
        <v>0</v>
      </c>
      <c r="Y134" s="133" t="e">
        <f t="shared" si="34"/>
        <v>#N/A</v>
      </c>
      <c r="Z134" s="133" t="e">
        <f t="shared" si="35"/>
        <v>#N/A</v>
      </c>
      <c r="AA134" s="133">
        <f t="shared" si="36"/>
        <v>0</v>
      </c>
      <c r="AB134" s="133" t="str">
        <f>IF(SUMIFS($R:$R,$H:$H,"Yes",$B:$B,'Client Level Data'!$B134)&gt;0,"CPY Flag","")</f>
        <v/>
      </c>
      <c r="AC134" s="133" t="str">
        <f t="shared" si="37"/>
        <v>N/A</v>
      </c>
      <c r="AD134" s="133">
        <f t="shared" si="38"/>
        <v>200</v>
      </c>
      <c r="AE134" s="133" t="str">
        <f t="shared" si="39"/>
        <v>Child</v>
      </c>
      <c r="AF134" s="133">
        <f t="shared" si="40"/>
        <v>200</v>
      </c>
      <c r="AG134" s="133" t="str">
        <f t="shared" si="41"/>
        <v>True</v>
      </c>
      <c r="AH134" s="133">
        <f t="shared" si="42"/>
        <v>200</v>
      </c>
      <c r="AI134" s="133" t="str">
        <f t="shared" si="43"/>
        <v>False</v>
      </c>
    </row>
    <row r="135" spans="1:35" ht="15.75" customHeight="1" x14ac:dyDescent="0.25">
      <c r="A135" s="192">
        <v>228</v>
      </c>
      <c r="B135" s="115"/>
      <c r="C135" s="177"/>
      <c r="D135" s="122"/>
      <c r="E135" s="184"/>
      <c r="F135" s="115"/>
      <c r="G135" s="185"/>
      <c r="H135" s="115"/>
      <c r="I135" s="177"/>
      <c r="J135" s="179"/>
      <c r="K135" s="115"/>
      <c r="L135" s="185"/>
      <c r="M135" s="115"/>
      <c r="N135" s="185"/>
      <c r="O135" s="115"/>
      <c r="P135" s="177"/>
      <c r="Q135" s="166">
        <f>IF(COUNTIF($B$8:$B207,$B135)=1,1,0)</f>
        <v>0</v>
      </c>
      <c r="R135" s="165">
        <f>IFERROR((COUNTIF($A:$A,'Client Level Data'!$A135))/COUNTIF($B:$B,$B135),0)</f>
        <v>0</v>
      </c>
      <c r="S135" s="22" t="str">
        <f>IF(SUMIFS($R:$R,$J:$J,"Yes",$B:$B,'Client Level Data'!$B135)&gt;0,"Chronic Flag","")</f>
        <v/>
      </c>
      <c r="T135" s="165" t="str">
        <f>IF(SUMIFS($R:$R,$G:$G,"Yes",$B:$B,'Client Level Data'!$B135)&gt;0,"PY Flag","")</f>
        <v/>
      </c>
      <c r="U135" s="165" t="str">
        <f>IF(SUMIFS($R:$R,$D:$D,"&lt;18",$G:$G,"Yes",$B:$B,'Client Level Data'!$B135)&gt;0,"PY &lt;18",IF(SUMIFS($R:$R,$D:$D,"&gt;17",$D:$D,"&lt;25",$G:$G,"Yes",$B:$B,'Client Level Data'!$B135)&gt;0,"PY &gt;17 &lt;25",""))</f>
        <v/>
      </c>
      <c r="V135" s="1">
        <f>IF('Client Level Data'!$K135="Yes",1,0)+IF('Client Level Data'!$L135="Yes",1,0)+IF('Client Level Data'!$M135="Yes",1,0)</f>
        <v>0</v>
      </c>
      <c r="W135" s="1" t="str">
        <f>IF(SUMIFS($R:$R,$F:$F,"Yes",$B:$B,'Client Level Data'!$B135)&gt;0,"Vet Flag","")</f>
        <v/>
      </c>
      <c r="X135" s="12">
        <f t="shared" si="33"/>
        <v>0</v>
      </c>
      <c r="Y135" s="12" t="e">
        <f t="shared" si="34"/>
        <v>#N/A</v>
      </c>
      <c r="Z135" s="12" t="e">
        <f t="shared" si="35"/>
        <v>#N/A</v>
      </c>
      <c r="AA135" s="12">
        <f t="shared" si="36"/>
        <v>0</v>
      </c>
      <c r="AB135" s="12" t="str">
        <f>IF(SUMIFS($R:$R,$H:$H,"Yes",$B:$B,'Client Level Data'!$B135)&gt;0,"CPY Flag","")</f>
        <v/>
      </c>
      <c r="AC135" s="12" t="str">
        <f t="shared" si="37"/>
        <v>N/A</v>
      </c>
      <c r="AD135" s="12">
        <f t="shared" si="38"/>
        <v>200</v>
      </c>
      <c r="AE135" s="12" t="str">
        <f t="shared" si="39"/>
        <v>Child</v>
      </c>
      <c r="AF135" s="12">
        <f t="shared" si="40"/>
        <v>200</v>
      </c>
      <c r="AG135" s="12" t="str">
        <f t="shared" si="41"/>
        <v>True</v>
      </c>
      <c r="AH135" s="12">
        <f t="shared" si="42"/>
        <v>200</v>
      </c>
      <c r="AI135" s="12" t="str">
        <f t="shared" si="43"/>
        <v>False</v>
      </c>
    </row>
    <row r="136" spans="1:35" s="133" customFormat="1" ht="15.75" customHeight="1" x14ac:dyDescent="0.25">
      <c r="A136" s="193">
        <v>229</v>
      </c>
      <c r="B136" s="175"/>
      <c r="C136" s="167"/>
      <c r="D136" s="168"/>
      <c r="E136" s="169"/>
      <c r="F136" s="175"/>
      <c r="G136" s="143"/>
      <c r="H136" s="175"/>
      <c r="I136" s="167"/>
      <c r="J136" s="126"/>
      <c r="K136" s="175"/>
      <c r="L136" s="167"/>
      <c r="M136" s="175"/>
      <c r="N136" s="167"/>
      <c r="O136" s="175"/>
      <c r="P136" s="167"/>
      <c r="Q136" s="170">
        <f>IF(COUNTIF($B$8:$B207,$B136)=1,1,0)</f>
        <v>0</v>
      </c>
      <c r="R136" s="171">
        <f>IFERROR((COUNTIF($A:$A,'Client Level Data'!$A136))/COUNTIF($B:$B,$B136),0)</f>
        <v>0</v>
      </c>
      <c r="S136" s="131" t="str">
        <f>IF(SUMIFS($R:$R,$J:$J,"Yes",$B:$B,'Client Level Data'!$B136)&gt;0,"Chronic Flag","")</f>
        <v/>
      </c>
      <c r="T136" s="171" t="str">
        <f>IF(SUMIFS($R:$R,$G:$G,"Yes",$B:$B,'Client Level Data'!$B136)&gt;0,"PY Flag","")</f>
        <v/>
      </c>
      <c r="U136" s="171" t="str">
        <f>IF(SUMIFS($R:$R,$D:$D,"&lt;18",$G:$G,"Yes",$B:$B,'Client Level Data'!$B136)&gt;0,"PY &lt;18",IF(SUMIFS($R:$R,$D:$D,"&gt;17",$D:$D,"&lt;25",$G:$G,"Yes",$B:$B,'Client Level Data'!$B136)&gt;0,"PY &gt;17 &lt;25",""))</f>
        <v/>
      </c>
      <c r="V136" s="172">
        <f>IF('Client Level Data'!$K136="Yes",1,0)+IF('Client Level Data'!$L136="Yes",1,0)+IF('Client Level Data'!$M136="Yes",1,0)</f>
        <v>0</v>
      </c>
      <c r="W136" s="172" t="str">
        <f>IF(SUMIFS($R:$R,$F:$F,"Yes",$B:$B,'Client Level Data'!$B136)&gt;0,"Vet Flag","")</f>
        <v/>
      </c>
      <c r="X136" s="133">
        <f t="shared" ref="X136:X167" si="44">IF(R136&lt;1, B136, "Single")</f>
        <v>0</v>
      </c>
      <c r="Y136" s="133" t="e">
        <f t="shared" ref="Y136:Y167" si="45">IF(X136="Single", "Single", INDEX(C:C, MATCH(X136, B:B, 0)))</f>
        <v>#N/A</v>
      </c>
      <c r="Z136" s="133" t="e">
        <f t="shared" ref="Z136:Z167" si="46">IF(AND(NOT(ISBLANK(C136)), C136=Y136, R136&lt;1), "Yes", IF(Y136="Single", "N/A", "No"))</f>
        <v>#N/A</v>
      </c>
      <c r="AA136" s="133">
        <f t="shared" ref="AA136:AA167" si="47">COUNTIFS(X:X, X136, Z:Z, "No")</f>
        <v>0</v>
      </c>
      <c r="AB136" s="133" t="str">
        <f>IF(SUMIFS($R:$R,$H:$H,"Yes",$B:$B,'Client Level Data'!$B136)&gt;0,"CPY Flag","")</f>
        <v/>
      </c>
      <c r="AC136" s="133" t="str">
        <f t="shared" ref="AC136:AC167" si="48">IF(AND(T136="PY Flag",AB136="CPY Flag"),"Yes",IF(AND(T136="",AB136=""),"N/A","No"))</f>
        <v>N/A</v>
      </c>
      <c r="AD136" s="133">
        <f t="shared" ref="AD136:AD167" si="49">COUNTIFS(X:X, X136)</f>
        <v>200</v>
      </c>
      <c r="AE136" s="133" t="str">
        <f t="shared" ref="AE136:AE167" si="50">IF(D136&lt;18,"Child",IF(AND(D136&gt;=18,D136&lt;25),"Youth","Not Youth"))</f>
        <v>Child</v>
      </c>
      <c r="AF136" s="133">
        <f t="shared" ref="AF136:AF167" si="51">COUNTIFS(X:X, X136, AE:AE, "Youth")+COUNTIFS(X:X, X136, AE:AE, "Child")</f>
        <v>200</v>
      </c>
      <c r="AG136" s="133" t="str">
        <f t="shared" ref="AG136:AG167" si="52">IF(AF136=AD136, "True", "False")</f>
        <v>True</v>
      </c>
      <c r="AH136" s="133">
        <f t="shared" ref="AH136:AH167" si="53">COUNTIFS(X:X, X136, AE:AE, "Child")</f>
        <v>200</v>
      </c>
      <c r="AI136" s="133" t="str">
        <f t="shared" ref="AI136:AI167" si="54">IF(AND(C136="Adults &amp; Children", AH136&gt;0), "True", IF(OR(C136="Children Only", C136="Adults Only"), "N/A", "False"))</f>
        <v>False</v>
      </c>
    </row>
    <row r="137" spans="1:35" ht="15.75" customHeight="1" x14ac:dyDescent="0.25">
      <c r="A137" s="192">
        <v>230</v>
      </c>
      <c r="B137" s="115"/>
      <c r="C137" s="177"/>
      <c r="D137" s="122"/>
      <c r="E137" s="184"/>
      <c r="F137" s="115"/>
      <c r="G137" s="185"/>
      <c r="H137" s="115"/>
      <c r="I137" s="177"/>
      <c r="J137" s="179"/>
      <c r="K137" s="115"/>
      <c r="L137" s="185"/>
      <c r="M137" s="115"/>
      <c r="N137" s="185"/>
      <c r="O137" s="115"/>
      <c r="P137" s="177"/>
      <c r="Q137" s="166">
        <f>IF(COUNTIF($B$8:$B207,$B137)=1,1,0)</f>
        <v>0</v>
      </c>
      <c r="R137" s="165">
        <f>IFERROR((COUNTIF($A:$A,'Client Level Data'!$A137))/COUNTIF($B:$B,$B137),0)</f>
        <v>0</v>
      </c>
      <c r="S137" s="22" t="str">
        <f>IF(SUMIFS($R:$R,$J:$J,"Yes",$B:$B,'Client Level Data'!$B137)&gt;0,"Chronic Flag","")</f>
        <v/>
      </c>
      <c r="T137" s="165" t="str">
        <f>IF(SUMIFS($R:$R,$G:$G,"Yes",$B:$B,'Client Level Data'!$B137)&gt;0,"PY Flag","")</f>
        <v/>
      </c>
      <c r="U137" s="165" t="str">
        <f>IF(SUMIFS($R:$R,$D:$D,"&lt;18",$G:$G,"Yes",$B:$B,'Client Level Data'!$B137)&gt;0,"PY &lt;18",IF(SUMIFS($R:$R,$D:$D,"&gt;17",$D:$D,"&lt;25",$G:$G,"Yes",$B:$B,'Client Level Data'!$B137)&gt;0,"PY &gt;17 &lt;25",""))</f>
        <v/>
      </c>
      <c r="V137" s="1">
        <f>IF('Client Level Data'!$K137="Yes",1,0)+IF('Client Level Data'!$L137="Yes",1,0)+IF('Client Level Data'!$M137="Yes",1,0)</f>
        <v>0</v>
      </c>
      <c r="W137" s="1" t="str">
        <f>IF(SUMIFS($R:$R,$F:$F,"Yes",$B:$B,'Client Level Data'!$B137)&gt;0,"Vet Flag","")</f>
        <v/>
      </c>
      <c r="X137" s="12">
        <f t="shared" si="44"/>
        <v>0</v>
      </c>
      <c r="Y137" s="12" t="e">
        <f t="shared" si="45"/>
        <v>#N/A</v>
      </c>
      <c r="Z137" s="12" t="e">
        <f t="shared" si="46"/>
        <v>#N/A</v>
      </c>
      <c r="AA137" s="12">
        <f t="shared" si="47"/>
        <v>0</v>
      </c>
      <c r="AB137" s="12" t="str">
        <f>IF(SUMIFS($R:$R,$H:$H,"Yes",$B:$B,'Client Level Data'!$B137)&gt;0,"CPY Flag","")</f>
        <v/>
      </c>
      <c r="AC137" s="12" t="str">
        <f t="shared" si="48"/>
        <v>N/A</v>
      </c>
      <c r="AD137" s="12">
        <f t="shared" si="49"/>
        <v>200</v>
      </c>
      <c r="AE137" s="12" t="str">
        <f t="shared" si="50"/>
        <v>Child</v>
      </c>
      <c r="AF137" s="12">
        <f t="shared" si="51"/>
        <v>200</v>
      </c>
      <c r="AG137" s="12" t="str">
        <f t="shared" si="52"/>
        <v>True</v>
      </c>
      <c r="AH137" s="12">
        <f t="shared" si="53"/>
        <v>200</v>
      </c>
      <c r="AI137" s="12" t="str">
        <f t="shared" si="54"/>
        <v>False</v>
      </c>
    </row>
    <row r="138" spans="1:35" s="133" customFormat="1" ht="15.75" customHeight="1" x14ac:dyDescent="0.25">
      <c r="A138" s="193">
        <v>231</v>
      </c>
      <c r="B138" s="175"/>
      <c r="C138" s="167"/>
      <c r="D138" s="168"/>
      <c r="E138" s="169"/>
      <c r="F138" s="175"/>
      <c r="G138" s="143"/>
      <c r="H138" s="175"/>
      <c r="I138" s="167"/>
      <c r="J138" s="126"/>
      <c r="K138" s="175"/>
      <c r="L138" s="167"/>
      <c r="M138" s="175"/>
      <c r="N138" s="167"/>
      <c r="O138" s="175"/>
      <c r="P138" s="167"/>
      <c r="Q138" s="170">
        <f>IF(COUNTIF($B$8:$B207,$B138)=1,1,0)</f>
        <v>0</v>
      </c>
      <c r="R138" s="171">
        <f>IFERROR((COUNTIF($A:$A,'Client Level Data'!$A138))/COUNTIF($B:$B,$B138),0)</f>
        <v>0</v>
      </c>
      <c r="S138" s="131" t="str">
        <f>IF(SUMIFS($R:$R,$J:$J,"Yes",$B:$B,'Client Level Data'!$B138)&gt;0,"Chronic Flag","")</f>
        <v/>
      </c>
      <c r="T138" s="171" t="str">
        <f>IF(SUMIFS($R:$R,$G:$G,"Yes",$B:$B,'Client Level Data'!$B138)&gt;0,"PY Flag","")</f>
        <v/>
      </c>
      <c r="U138" s="171" t="str">
        <f>IF(SUMIFS($R:$R,$D:$D,"&lt;18",$G:$G,"Yes",$B:$B,'Client Level Data'!$B138)&gt;0,"PY &lt;18",IF(SUMIFS($R:$R,$D:$D,"&gt;17",$D:$D,"&lt;25",$G:$G,"Yes",$B:$B,'Client Level Data'!$B138)&gt;0,"PY &gt;17 &lt;25",""))</f>
        <v/>
      </c>
      <c r="V138" s="172">
        <f>IF('Client Level Data'!$K138="Yes",1,0)+IF('Client Level Data'!$L138="Yes",1,0)+IF('Client Level Data'!$M138="Yes",1,0)</f>
        <v>0</v>
      </c>
      <c r="W138" s="172" t="str">
        <f>IF(SUMIFS($R:$R,$F:$F,"Yes",$B:$B,'Client Level Data'!$B138)&gt;0,"Vet Flag","")</f>
        <v/>
      </c>
      <c r="X138" s="133">
        <f t="shared" si="44"/>
        <v>0</v>
      </c>
      <c r="Y138" s="133" t="e">
        <f t="shared" si="45"/>
        <v>#N/A</v>
      </c>
      <c r="Z138" s="133" t="e">
        <f t="shared" si="46"/>
        <v>#N/A</v>
      </c>
      <c r="AA138" s="133">
        <f t="shared" si="47"/>
        <v>0</v>
      </c>
      <c r="AB138" s="133" t="str">
        <f>IF(SUMIFS($R:$R,$H:$H,"Yes",$B:$B,'Client Level Data'!$B138)&gt;0,"CPY Flag","")</f>
        <v/>
      </c>
      <c r="AC138" s="133" t="str">
        <f t="shared" si="48"/>
        <v>N/A</v>
      </c>
      <c r="AD138" s="133">
        <f t="shared" si="49"/>
        <v>200</v>
      </c>
      <c r="AE138" s="133" t="str">
        <f t="shared" si="50"/>
        <v>Child</v>
      </c>
      <c r="AF138" s="133">
        <f t="shared" si="51"/>
        <v>200</v>
      </c>
      <c r="AG138" s="133" t="str">
        <f t="shared" si="52"/>
        <v>True</v>
      </c>
      <c r="AH138" s="133">
        <f t="shared" si="53"/>
        <v>200</v>
      </c>
      <c r="AI138" s="133" t="str">
        <f t="shared" si="54"/>
        <v>False</v>
      </c>
    </row>
    <row r="139" spans="1:35" ht="15.75" customHeight="1" x14ac:dyDescent="0.25">
      <c r="A139" s="192">
        <v>232</v>
      </c>
      <c r="B139" s="115"/>
      <c r="C139" s="177"/>
      <c r="D139" s="122"/>
      <c r="E139" s="184"/>
      <c r="F139" s="115"/>
      <c r="G139" s="185"/>
      <c r="H139" s="115"/>
      <c r="I139" s="177"/>
      <c r="J139" s="179"/>
      <c r="K139" s="115"/>
      <c r="L139" s="185"/>
      <c r="M139" s="115"/>
      <c r="N139" s="185"/>
      <c r="O139" s="115"/>
      <c r="P139" s="177"/>
      <c r="Q139" s="166">
        <f>IF(COUNTIF($B$8:$B207,$B139)=1,1,0)</f>
        <v>0</v>
      </c>
      <c r="R139" s="165">
        <f>IFERROR((COUNTIF($A:$A,'Client Level Data'!$A139))/COUNTIF($B:$B,$B139),0)</f>
        <v>0</v>
      </c>
      <c r="S139" s="22" t="str">
        <f>IF(SUMIFS($R:$R,$J:$J,"Yes",$B:$B,'Client Level Data'!$B139)&gt;0,"Chronic Flag","")</f>
        <v/>
      </c>
      <c r="T139" s="165" t="str">
        <f>IF(SUMIFS($R:$R,$G:$G,"Yes",$B:$B,'Client Level Data'!$B139)&gt;0,"PY Flag","")</f>
        <v/>
      </c>
      <c r="U139" s="165" t="str">
        <f>IF(SUMIFS($R:$R,$D:$D,"&lt;18",$G:$G,"Yes",$B:$B,'Client Level Data'!$B139)&gt;0,"PY &lt;18",IF(SUMIFS($R:$R,$D:$D,"&gt;17",$D:$D,"&lt;25",$G:$G,"Yes",$B:$B,'Client Level Data'!$B139)&gt;0,"PY &gt;17 &lt;25",""))</f>
        <v/>
      </c>
      <c r="V139" s="1">
        <f>IF('Client Level Data'!$K139="Yes",1,0)+IF('Client Level Data'!$L139="Yes",1,0)+IF('Client Level Data'!$M139="Yes",1,0)</f>
        <v>0</v>
      </c>
      <c r="W139" s="1" t="str">
        <f>IF(SUMIFS($R:$R,$F:$F,"Yes",$B:$B,'Client Level Data'!$B139)&gt;0,"Vet Flag","")</f>
        <v/>
      </c>
      <c r="X139" s="12">
        <f t="shared" si="44"/>
        <v>0</v>
      </c>
      <c r="Y139" s="12" t="e">
        <f t="shared" si="45"/>
        <v>#N/A</v>
      </c>
      <c r="Z139" s="12" t="e">
        <f t="shared" si="46"/>
        <v>#N/A</v>
      </c>
      <c r="AA139" s="12">
        <f t="shared" si="47"/>
        <v>0</v>
      </c>
      <c r="AB139" s="12" t="str">
        <f>IF(SUMIFS($R:$R,$H:$H,"Yes",$B:$B,'Client Level Data'!$B139)&gt;0,"CPY Flag","")</f>
        <v/>
      </c>
      <c r="AC139" s="12" t="str">
        <f t="shared" si="48"/>
        <v>N/A</v>
      </c>
      <c r="AD139" s="12">
        <f t="shared" si="49"/>
        <v>200</v>
      </c>
      <c r="AE139" s="12" t="str">
        <f t="shared" si="50"/>
        <v>Child</v>
      </c>
      <c r="AF139" s="12">
        <f t="shared" si="51"/>
        <v>200</v>
      </c>
      <c r="AG139" s="12" t="str">
        <f t="shared" si="52"/>
        <v>True</v>
      </c>
      <c r="AH139" s="12">
        <f t="shared" si="53"/>
        <v>200</v>
      </c>
      <c r="AI139" s="12" t="str">
        <f t="shared" si="54"/>
        <v>False</v>
      </c>
    </row>
    <row r="140" spans="1:35" s="133" customFormat="1" ht="15.75" customHeight="1" x14ac:dyDescent="0.25">
      <c r="A140" s="193">
        <v>233</v>
      </c>
      <c r="B140" s="175"/>
      <c r="C140" s="167"/>
      <c r="D140" s="168"/>
      <c r="E140" s="169"/>
      <c r="F140" s="175"/>
      <c r="G140" s="143"/>
      <c r="H140" s="175"/>
      <c r="I140" s="167"/>
      <c r="J140" s="126"/>
      <c r="K140" s="175"/>
      <c r="L140" s="167"/>
      <c r="M140" s="175"/>
      <c r="N140" s="167"/>
      <c r="O140" s="175"/>
      <c r="P140" s="167"/>
      <c r="Q140" s="170">
        <f>IF(COUNTIF($B$8:$B207,$B140)=1,1,0)</f>
        <v>0</v>
      </c>
      <c r="R140" s="171">
        <f>IFERROR((COUNTIF($A:$A,'Client Level Data'!$A140))/COUNTIF($B:$B,$B140),0)</f>
        <v>0</v>
      </c>
      <c r="S140" s="131" t="str">
        <f>IF(SUMIFS($R:$R,$J:$J,"Yes",$B:$B,'Client Level Data'!$B140)&gt;0,"Chronic Flag","")</f>
        <v/>
      </c>
      <c r="T140" s="171" t="str">
        <f>IF(SUMIFS($R:$R,$G:$G,"Yes",$B:$B,'Client Level Data'!$B140)&gt;0,"PY Flag","")</f>
        <v/>
      </c>
      <c r="U140" s="171" t="str">
        <f>IF(SUMIFS($R:$R,$D:$D,"&lt;18",$G:$G,"Yes",$B:$B,'Client Level Data'!$B140)&gt;0,"PY &lt;18",IF(SUMIFS($R:$R,$D:$D,"&gt;17",$D:$D,"&lt;25",$G:$G,"Yes",$B:$B,'Client Level Data'!$B140)&gt;0,"PY &gt;17 &lt;25",""))</f>
        <v/>
      </c>
      <c r="V140" s="172">
        <f>IF('Client Level Data'!$K140="Yes",1,0)+IF('Client Level Data'!$L140="Yes",1,0)+IF('Client Level Data'!$M140="Yes",1,0)</f>
        <v>0</v>
      </c>
      <c r="W140" s="172" t="str">
        <f>IF(SUMIFS($R:$R,$F:$F,"Yes",$B:$B,'Client Level Data'!$B140)&gt;0,"Vet Flag","")</f>
        <v/>
      </c>
      <c r="X140" s="133">
        <f t="shared" si="44"/>
        <v>0</v>
      </c>
      <c r="Y140" s="133" t="e">
        <f t="shared" si="45"/>
        <v>#N/A</v>
      </c>
      <c r="Z140" s="133" t="e">
        <f t="shared" si="46"/>
        <v>#N/A</v>
      </c>
      <c r="AA140" s="133">
        <f t="shared" si="47"/>
        <v>0</v>
      </c>
      <c r="AB140" s="133" t="str">
        <f>IF(SUMIFS($R:$R,$H:$H,"Yes",$B:$B,'Client Level Data'!$B140)&gt;0,"CPY Flag","")</f>
        <v/>
      </c>
      <c r="AC140" s="133" t="str">
        <f t="shared" si="48"/>
        <v>N/A</v>
      </c>
      <c r="AD140" s="133">
        <f t="shared" si="49"/>
        <v>200</v>
      </c>
      <c r="AE140" s="133" t="str">
        <f t="shared" si="50"/>
        <v>Child</v>
      </c>
      <c r="AF140" s="133">
        <f t="shared" si="51"/>
        <v>200</v>
      </c>
      <c r="AG140" s="133" t="str">
        <f t="shared" si="52"/>
        <v>True</v>
      </c>
      <c r="AH140" s="133">
        <f t="shared" si="53"/>
        <v>200</v>
      </c>
      <c r="AI140" s="133" t="str">
        <f t="shared" si="54"/>
        <v>False</v>
      </c>
    </row>
    <row r="141" spans="1:35" ht="15.75" customHeight="1" x14ac:dyDescent="0.25">
      <c r="A141" s="192">
        <v>234</v>
      </c>
      <c r="B141" s="115"/>
      <c r="C141" s="177"/>
      <c r="D141" s="122"/>
      <c r="E141" s="184"/>
      <c r="F141" s="115"/>
      <c r="G141" s="185"/>
      <c r="H141" s="115"/>
      <c r="I141" s="177"/>
      <c r="J141" s="179"/>
      <c r="K141" s="115"/>
      <c r="L141" s="185"/>
      <c r="M141" s="115"/>
      <c r="N141" s="185"/>
      <c r="O141" s="115"/>
      <c r="P141" s="177"/>
      <c r="Q141" s="166">
        <f>IF(COUNTIF($B$8:$B207,$B141)=1,1,0)</f>
        <v>0</v>
      </c>
      <c r="R141" s="165">
        <f>IFERROR((COUNTIF($A:$A,'Client Level Data'!$A141))/COUNTIF($B:$B,$B141),0)</f>
        <v>0</v>
      </c>
      <c r="S141" s="22" t="str">
        <f>IF(SUMIFS($R:$R,$J:$J,"Yes",$B:$B,'Client Level Data'!$B141)&gt;0,"Chronic Flag","")</f>
        <v/>
      </c>
      <c r="T141" s="165" t="str">
        <f>IF(SUMIFS($R:$R,$G:$G,"Yes",$B:$B,'Client Level Data'!$B141)&gt;0,"PY Flag","")</f>
        <v/>
      </c>
      <c r="U141" s="165" t="str">
        <f>IF(SUMIFS($R:$R,$D:$D,"&lt;18",$G:$G,"Yes",$B:$B,'Client Level Data'!$B141)&gt;0,"PY &lt;18",IF(SUMIFS($R:$R,$D:$D,"&gt;17",$D:$D,"&lt;25",$G:$G,"Yes",$B:$B,'Client Level Data'!$B141)&gt;0,"PY &gt;17 &lt;25",""))</f>
        <v/>
      </c>
      <c r="V141" s="1">
        <f>IF('Client Level Data'!$K141="Yes",1,0)+IF('Client Level Data'!$L141="Yes",1,0)+IF('Client Level Data'!$M141="Yes",1,0)</f>
        <v>0</v>
      </c>
      <c r="W141" s="1" t="str">
        <f>IF(SUMIFS($R:$R,$F:$F,"Yes",$B:$B,'Client Level Data'!$B141)&gt;0,"Vet Flag","")</f>
        <v/>
      </c>
      <c r="X141" s="12">
        <f t="shared" si="44"/>
        <v>0</v>
      </c>
      <c r="Y141" s="12" t="e">
        <f t="shared" si="45"/>
        <v>#N/A</v>
      </c>
      <c r="Z141" s="12" t="e">
        <f t="shared" si="46"/>
        <v>#N/A</v>
      </c>
      <c r="AA141" s="12">
        <f t="shared" si="47"/>
        <v>0</v>
      </c>
      <c r="AB141" s="12" t="str">
        <f>IF(SUMIFS($R:$R,$H:$H,"Yes",$B:$B,'Client Level Data'!$B141)&gt;0,"CPY Flag","")</f>
        <v/>
      </c>
      <c r="AC141" s="12" t="str">
        <f t="shared" si="48"/>
        <v>N/A</v>
      </c>
      <c r="AD141" s="12">
        <f t="shared" si="49"/>
        <v>200</v>
      </c>
      <c r="AE141" s="12" t="str">
        <f t="shared" si="50"/>
        <v>Child</v>
      </c>
      <c r="AF141" s="12">
        <f t="shared" si="51"/>
        <v>200</v>
      </c>
      <c r="AG141" s="12" t="str">
        <f t="shared" si="52"/>
        <v>True</v>
      </c>
      <c r="AH141" s="12">
        <f t="shared" si="53"/>
        <v>200</v>
      </c>
      <c r="AI141" s="12" t="str">
        <f t="shared" si="54"/>
        <v>False</v>
      </c>
    </row>
    <row r="142" spans="1:35" s="133" customFormat="1" ht="15.75" customHeight="1" x14ac:dyDescent="0.25">
      <c r="A142" s="193">
        <v>235</v>
      </c>
      <c r="B142" s="175"/>
      <c r="C142" s="167"/>
      <c r="D142" s="168"/>
      <c r="E142" s="169"/>
      <c r="F142" s="175"/>
      <c r="G142" s="143"/>
      <c r="H142" s="175"/>
      <c r="I142" s="167"/>
      <c r="J142" s="126"/>
      <c r="K142" s="175"/>
      <c r="L142" s="167"/>
      <c r="M142" s="175"/>
      <c r="N142" s="167"/>
      <c r="O142" s="175"/>
      <c r="P142" s="167"/>
      <c r="Q142" s="170">
        <f>IF(COUNTIF($B$8:$B207,$B142)=1,1,0)</f>
        <v>0</v>
      </c>
      <c r="R142" s="171">
        <f>IFERROR((COUNTIF($A:$A,'Client Level Data'!$A142))/COUNTIF($B:$B,$B142),0)</f>
        <v>0</v>
      </c>
      <c r="S142" s="131" t="str">
        <f>IF(SUMIFS($R:$R,$J:$J,"Yes",$B:$B,'Client Level Data'!$B142)&gt;0,"Chronic Flag","")</f>
        <v/>
      </c>
      <c r="T142" s="171" t="str">
        <f>IF(SUMIFS($R:$R,$G:$G,"Yes",$B:$B,'Client Level Data'!$B142)&gt;0,"PY Flag","")</f>
        <v/>
      </c>
      <c r="U142" s="171" t="str">
        <f>IF(SUMIFS($R:$R,$D:$D,"&lt;18",$G:$G,"Yes",$B:$B,'Client Level Data'!$B142)&gt;0,"PY &lt;18",IF(SUMIFS($R:$R,$D:$D,"&gt;17",$D:$D,"&lt;25",$G:$G,"Yes",$B:$B,'Client Level Data'!$B142)&gt;0,"PY &gt;17 &lt;25",""))</f>
        <v/>
      </c>
      <c r="V142" s="172">
        <f>IF('Client Level Data'!$K142="Yes",1,0)+IF('Client Level Data'!$L142="Yes",1,0)+IF('Client Level Data'!$M142="Yes",1,0)</f>
        <v>0</v>
      </c>
      <c r="W142" s="172" t="str">
        <f>IF(SUMIFS($R:$R,$F:$F,"Yes",$B:$B,'Client Level Data'!$B142)&gt;0,"Vet Flag","")</f>
        <v/>
      </c>
      <c r="X142" s="133">
        <f t="shared" si="44"/>
        <v>0</v>
      </c>
      <c r="Y142" s="133" t="e">
        <f t="shared" si="45"/>
        <v>#N/A</v>
      </c>
      <c r="Z142" s="133" t="e">
        <f t="shared" si="46"/>
        <v>#N/A</v>
      </c>
      <c r="AA142" s="133">
        <f t="shared" si="47"/>
        <v>0</v>
      </c>
      <c r="AB142" s="133" t="str">
        <f>IF(SUMIFS($R:$R,$H:$H,"Yes",$B:$B,'Client Level Data'!$B142)&gt;0,"CPY Flag","")</f>
        <v/>
      </c>
      <c r="AC142" s="133" t="str">
        <f t="shared" si="48"/>
        <v>N/A</v>
      </c>
      <c r="AD142" s="133">
        <f t="shared" si="49"/>
        <v>200</v>
      </c>
      <c r="AE142" s="133" t="str">
        <f t="shared" si="50"/>
        <v>Child</v>
      </c>
      <c r="AF142" s="133">
        <f t="shared" si="51"/>
        <v>200</v>
      </c>
      <c r="AG142" s="133" t="str">
        <f t="shared" si="52"/>
        <v>True</v>
      </c>
      <c r="AH142" s="133">
        <f t="shared" si="53"/>
        <v>200</v>
      </c>
      <c r="AI142" s="133" t="str">
        <f t="shared" si="54"/>
        <v>False</v>
      </c>
    </row>
    <row r="143" spans="1:35" ht="15.75" customHeight="1" x14ac:dyDescent="0.25">
      <c r="A143" s="192">
        <v>236</v>
      </c>
      <c r="B143" s="115"/>
      <c r="C143" s="177"/>
      <c r="D143" s="122"/>
      <c r="E143" s="184"/>
      <c r="F143" s="115"/>
      <c r="G143" s="185"/>
      <c r="H143" s="115"/>
      <c r="I143" s="177"/>
      <c r="J143" s="179"/>
      <c r="K143" s="115"/>
      <c r="L143" s="185"/>
      <c r="M143" s="115"/>
      <c r="N143" s="185"/>
      <c r="O143" s="115"/>
      <c r="P143" s="177"/>
      <c r="Q143" s="166">
        <f>IF(COUNTIF($B$8:$B207,$B143)=1,1,0)</f>
        <v>0</v>
      </c>
      <c r="R143" s="165">
        <f>IFERROR((COUNTIF($A:$A,'Client Level Data'!$A143))/COUNTIF($B:$B,$B143),0)</f>
        <v>0</v>
      </c>
      <c r="S143" s="22" t="str">
        <f>IF(SUMIFS($R:$R,$J:$J,"Yes",$B:$B,'Client Level Data'!$B143)&gt;0,"Chronic Flag","")</f>
        <v/>
      </c>
      <c r="T143" s="165" t="str">
        <f>IF(SUMIFS($R:$R,$G:$G,"Yes",$B:$B,'Client Level Data'!$B143)&gt;0,"PY Flag","")</f>
        <v/>
      </c>
      <c r="U143" s="165" t="str">
        <f>IF(SUMIFS($R:$R,$D:$D,"&lt;18",$G:$G,"Yes",$B:$B,'Client Level Data'!$B143)&gt;0,"PY &lt;18",IF(SUMIFS($R:$R,$D:$D,"&gt;17",$D:$D,"&lt;25",$G:$G,"Yes",$B:$B,'Client Level Data'!$B143)&gt;0,"PY &gt;17 &lt;25",""))</f>
        <v/>
      </c>
      <c r="V143" s="1">
        <f>IF('Client Level Data'!$K143="Yes",1,0)+IF('Client Level Data'!$L143="Yes",1,0)+IF('Client Level Data'!$M143="Yes",1,0)</f>
        <v>0</v>
      </c>
      <c r="W143" s="1" t="str">
        <f>IF(SUMIFS($R:$R,$F:$F,"Yes",$B:$B,'Client Level Data'!$B143)&gt;0,"Vet Flag","")</f>
        <v/>
      </c>
      <c r="X143" s="12">
        <f t="shared" si="44"/>
        <v>0</v>
      </c>
      <c r="Y143" s="12" t="e">
        <f t="shared" si="45"/>
        <v>#N/A</v>
      </c>
      <c r="Z143" s="12" t="e">
        <f t="shared" si="46"/>
        <v>#N/A</v>
      </c>
      <c r="AA143" s="12">
        <f t="shared" si="47"/>
        <v>0</v>
      </c>
      <c r="AB143" s="12" t="str">
        <f>IF(SUMIFS($R:$R,$H:$H,"Yes",$B:$B,'Client Level Data'!$B143)&gt;0,"CPY Flag","")</f>
        <v/>
      </c>
      <c r="AC143" s="12" t="str">
        <f t="shared" si="48"/>
        <v>N/A</v>
      </c>
      <c r="AD143" s="12">
        <f t="shared" si="49"/>
        <v>200</v>
      </c>
      <c r="AE143" s="12" t="str">
        <f t="shared" si="50"/>
        <v>Child</v>
      </c>
      <c r="AF143" s="12">
        <f t="shared" si="51"/>
        <v>200</v>
      </c>
      <c r="AG143" s="12" t="str">
        <f t="shared" si="52"/>
        <v>True</v>
      </c>
      <c r="AH143" s="12">
        <f t="shared" si="53"/>
        <v>200</v>
      </c>
      <c r="AI143" s="12" t="str">
        <f t="shared" si="54"/>
        <v>False</v>
      </c>
    </row>
    <row r="144" spans="1:35" s="133" customFormat="1" ht="15.75" customHeight="1" x14ac:dyDescent="0.25">
      <c r="A144" s="193">
        <v>237</v>
      </c>
      <c r="B144" s="175"/>
      <c r="C144" s="167"/>
      <c r="D144" s="168"/>
      <c r="E144" s="169"/>
      <c r="F144" s="175"/>
      <c r="G144" s="143"/>
      <c r="H144" s="175"/>
      <c r="I144" s="167"/>
      <c r="J144" s="126"/>
      <c r="K144" s="175"/>
      <c r="L144" s="167"/>
      <c r="M144" s="175"/>
      <c r="N144" s="167"/>
      <c r="O144" s="175"/>
      <c r="P144" s="167"/>
      <c r="Q144" s="170">
        <f>IF(COUNTIF($B$8:$B207,$B144)=1,1,0)</f>
        <v>0</v>
      </c>
      <c r="R144" s="171">
        <f>IFERROR((COUNTIF($A:$A,'Client Level Data'!$A144))/COUNTIF($B:$B,$B144),0)</f>
        <v>0</v>
      </c>
      <c r="S144" s="131" t="str">
        <f>IF(SUMIFS($R:$R,$J:$J,"Yes",$B:$B,'Client Level Data'!$B144)&gt;0,"Chronic Flag","")</f>
        <v/>
      </c>
      <c r="T144" s="171" t="str">
        <f>IF(SUMIFS($R:$R,$G:$G,"Yes",$B:$B,'Client Level Data'!$B144)&gt;0,"PY Flag","")</f>
        <v/>
      </c>
      <c r="U144" s="171" t="str">
        <f>IF(SUMIFS($R:$R,$D:$D,"&lt;18",$G:$G,"Yes",$B:$B,'Client Level Data'!$B144)&gt;0,"PY &lt;18",IF(SUMIFS($R:$R,$D:$D,"&gt;17",$D:$D,"&lt;25",$G:$G,"Yes",$B:$B,'Client Level Data'!$B144)&gt;0,"PY &gt;17 &lt;25",""))</f>
        <v/>
      </c>
      <c r="V144" s="172">
        <f>IF('Client Level Data'!$K144="Yes",1,0)+IF('Client Level Data'!$L144="Yes",1,0)+IF('Client Level Data'!$M144="Yes",1,0)</f>
        <v>0</v>
      </c>
      <c r="W144" s="172" t="str">
        <f>IF(SUMIFS($R:$R,$F:$F,"Yes",$B:$B,'Client Level Data'!$B144)&gt;0,"Vet Flag","")</f>
        <v/>
      </c>
      <c r="X144" s="133">
        <f t="shared" si="44"/>
        <v>0</v>
      </c>
      <c r="Y144" s="133" t="e">
        <f t="shared" si="45"/>
        <v>#N/A</v>
      </c>
      <c r="Z144" s="133" t="e">
        <f t="shared" si="46"/>
        <v>#N/A</v>
      </c>
      <c r="AA144" s="133">
        <f t="shared" si="47"/>
        <v>0</v>
      </c>
      <c r="AB144" s="133" t="str">
        <f>IF(SUMIFS($R:$R,$H:$H,"Yes",$B:$B,'Client Level Data'!$B144)&gt;0,"CPY Flag","")</f>
        <v/>
      </c>
      <c r="AC144" s="133" t="str">
        <f t="shared" si="48"/>
        <v>N/A</v>
      </c>
      <c r="AD144" s="133">
        <f t="shared" si="49"/>
        <v>200</v>
      </c>
      <c r="AE144" s="133" t="str">
        <f t="shared" si="50"/>
        <v>Child</v>
      </c>
      <c r="AF144" s="133">
        <f t="shared" si="51"/>
        <v>200</v>
      </c>
      <c r="AG144" s="133" t="str">
        <f t="shared" si="52"/>
        <v>True</v>
      </c>
      <c r="AH144" s="133">
        <f t="shared" si="53"/>
        <v>200</v>
      </c>
      <c r="AI144" s="133" t="str">
        <f t="shared" si="54"/>
        <v>False</v>
      </c>
    </row>
    <row r="145" spans="1:35" ht="15.75" customHeight="1" x14ac:dyDescent="0.25">
      <c r="A145" s="192">
        <v>238</v>
      </c>
      <c r="B145" s="115"/>
      <c r="C145" s="177"/>
      <c r="D145" s="122"/>
      <c r="E145" s="184"/>
      <c r="F145" s="115"/>
      <c r="G145" s="185"/>
      <c r="H145" s="115"/>
      <c r="I145" s="177"/>
      <c r="J145" s="179"/>
      <c r="K145" s="115"/>
      <c r="L145" s="185"/>
      <c r="M145" s="115"/>
      <c r="N145" s="185"/>
      <c r="O145" s="115"/>
      <c r="P145" s="177"/>
      <c r="Q145" s="166">
        <f>IF(COUNTIF($B$8:$B207,$B145)=1,1,0)</f>
        <v>0</v>
      </c>
      <c r="R145" s="165">
        <f>IFERROR((COUNTIF($A:$A,'Client Level Data'!$A145))/COUNTIF($B:$B,$B145),0)</f>
        <v>0</v>
      </c>
      <c r="S145" s="22" t="str">
        <f>IF(SUMIFS($R:$R,$J:$J,"Yes",$B:$B,'Client Level Data'!$B145)&gt;0,"Chronic Flag","")</f>
        <v/>
      </c>
      <c r="T145" s="165" t="str">
        <f>IF(SUMIFS($R:$R,$G:$G,"Yes",$B:$B,'Client Level Data'!$B145)&gt;0,"PY Flag","")</f>
        <v/>
      </c>
      <c r="U145" s="165" t="str">
        <f>IF(SUMIFS($R:$R,$D:$D,"&lt;18",$G:$G,"Yes",$B:$B,'Client Level Data'!$B145)&gt;0,"PY &lt;18",IF(SUMIFS($R:$R,$D:$D,"&gt;17",$D:$D,"&lt;25",$G:$G,"Yes",$B:$B,'Client Level Data'!$B145)&gt;0,"PY &gt;17 &lt;25",""))</f>
        <v/>
      </c>
      <c r="V145" s="1">
        <f>IF('Client Level Data'!$K145="Yes",1,0)+IF('Client Level Data'!$L145="Yes",1,0)+IF('Client Level Data'!$M145="Yes",1,0)</f>
        <v>0</v>
      </c>
      <c r="W145" s="1" t="str">
        <f>IF(SUMIFS($R:$R,$F:$F,"Yes",$B:$B,'Client Level Data'!$B145)&gt;0,"Vet Flag","")</f>
        <v/>
      </c>
      <c r="X145" s="12">
        <f t="shared" si="44"/>
        <v>0</v>
      </c>
      <c r="Y145" s="12" t="e">
        <f t="shared" si="45"/>
        <v>#N/A</v>
      </c>
      <c r="Z145" s="12" t="e">
        <f t="shared" si="46"/>
        <v>#N/A</v>
      </c>
      <c r="AA145" s="12">
        <f t="shared" si="47"/>
        <v>0</v>
      </c>
      <c r="AB145" s="12" t="str">
        <f>IF(SUMIFS($R:$R,$H:$H,"Yes",$B:$B,'Client Level Data'!$B145)&gt;0,"CPY Flag","")</f>
        <v/>
      </c>
      <c r="AC145" s="12" t="str">
        <f t="shared" si="48"/>
        <v>N/A</v>
      </c>
      <c r="AD145" s="12">
        <f t="shared" si="49"/>
        <v>200</v>
      </c>
      <c r="AE145" s="12" t="str">
        <f t="shared" si="50"/>
        <v>Child</v>
      </c>
      <c r="AF145" s="12">
        <f t="shared" si="51"/>
        <v>200</v>
      </c>
      <c r="AG145" s="12" t="str">
        <f t="shared" si="52"/>
        <v>True</v>
      </c>
      <c r="AH145" s="12">
        <f t="shared" si="53"/>
        <v>200</v>
      </c>
      <c r="AI145" s="12" t="str">
        <f t="shared" si="54"/>
        <v>False</v>
      </c>
    </row>
    <row r="146" spans="1:35" s="133" customFormat="1" ht="15.75" customHeight="1" x14ac:dyDescent="0.25">
      <c r="A146" s="193">
        <v>239</v>
      </c>
      <c r="B146" s="175"/>
      <c r="C146" s="167"/>
      <c r="D146" s="168"/>
      <c r="E146" s="169"/>
      <c r="F146" s="175"/>
      <c r="G146" s="143"/>
      <c r="H146" s="175"/>
      <c r="I146" s="167"/>
      <c r="J146" s="126"/>
      <c r="K146" s="146"/>
      <c r="L146" s="173"/>
      <c r="M146" s="146"/>
      <c r="N146" s="173"/>
      <c r="O146" s="146"/>
      <c r="P146" s="190"/>
      <c r="Q146" s="170">
        <f>IF(COUNTIF($B$8:$B207,$B146)=1,1,0)</f>
        <v>0</v>
      </c>
      <c r="R146" s="171">
        <f>IFERROR((COUNTIF($A:$A,'Client Level Data'!$A146))/COUNTIF($B:$B,$B146),0)</f>
        <v>0</v>
      </c>
      <c r="S146" s="131" t="str">
        <f>IF(SUMIFS($R:$R,$J:$J,"Yes",$B:$B,'Client Level Data'!$B146)&gt;0,"Chronic Flag","")</f>
        <v/>
      </c>
      <c r="T146" s="171" t="str">
        <f>IF(SUMIFS($R:$R,$G:$G,"Yes",$B:$B,'Client Level Data'!$B146)&gt;0,"PY Flag","")</f>
        <v/>
      </c>
      <c r="U146" s="171" t="str">
        <f>IF(SUMIFS($R:$R,$D:$D,"&lt;18",$G:$G,"Yes",$B:$B,'Client Level Data'!$B146)&gt;0,"PY &lt;18",IF(SUMIFS($R:$R,$D:$D,"&gt;17",$D:$D,"&lt;25",$G:$G,"Yes",$B:$B,'Client Level Data'!$B146)&gt;0,"PY &gt;17 &lt;25",""))</f>
        <v/>
      </c>
      <c r="V146" s="172">
        <f>IF('Client Level Data'!$K146="Yes",1,0)+IF('Client Level Data'!$L146="Yes",1,0)+IF('Client Level Data'!$M146="Yes",1,0)</f>
        <v>0</v>
      </c>
      <c r="W146" s="172" t="str">
        <f>IF(SUMIFS($R:$R,$F:$F,"Yes",$B:$B,'Client Level Data'!$B146)&gt;0,"Vet Flag","")</f>
        <v/>
      </c>
      <c r="X146" s="133">
        <f t="shared" si="44"/>
        <v>0</v>
      </c>
      <c r="Y146" s="133" t="e">
        <f t="shared" si="45"/>
        <v>#N/A</v>
      </c>
      <c r="Z146" s="133" t="e">
        <f t="shared" si="46"/>
        <v>#N/A</v>
      </c>
      <c r="AA146" s="133">
        <f t="shared" si="47"/>
        <v>0</v>
      </c>
      <c r="AB146" s="133" t="str">
        <f>IF(SUMIFS($R:$R,$H:$H,"Yes",$B:$B,'Client Level Data'!$B146)&gt;0,"CPY Flag","")</f>
        <v/>
      </c>
      <c r="AC146" s="133" t="str">
        <f t="shared" si="48"/>
        <v>N/A</v>
      </c>
      <c r="AD146" s="133">
        <f t="shared" si="49"/>
        <v>200</v>
      </c>
      <c r="AE146" s="133" t="str">
        <f t="shared" si="50"/>
        <v>Child</v>
      </c>
      <c r="AF146" s="133">
        <f t="shared" si="51"/>
        <v>200</v>
      </c>
      <c r="AG146" s="133" t="str">
        <f t="shared" si="52"/>
        <v>True</v>
      </c>
      <c r="AH146" s="133">
        <f t="shared" si="53"/>
        <v>200</v>
      </c>
      <c r="AI146" s="133" t="str">
        <f t="shared" si="54"/>
        <v>False</v>
      </c>
    </row>
    <row r="147" spans="1:35" ht="15.75" customHeight="1" x14ac:dyDescent="0.25">
      <c r="A147" s="192">
        <v>240</v>
      </c>
      <c r="B147" s="115"/>
      <c r="C147" s="177"/>
      <c r="D147" s="122"/>
      <c r="E147" s="184"/>
      <c r="F147" s="115"/>
      <c r="G147" s="185"/>
      <c r="H147" s="115"/>
      <c r="I147" s="177"/>
      <c r="J147" s="179"/>
      <c r="K147" s="115"/>
      <c r="L147" s="185"/>
      <c r="M147" s="115"/>
      <c r="N147" s="185"/>
      <c r="O147" s="115"/>
      <c r="P147" s="177"/>
      <c r="Q147" s="166">
        <f>IF(COUNTIF($B$8:$B207,$B147)=1,1,0)</f>
        <v>0</v>
      </c>
      <c r="R147" s="165">
        <f>IFERROR((COUNTIF($A:$A,'Client Level Data'!$A147))/COUNTIF($B:$B,$B147),0)</f>
        <v>0</v>
      </c>
      <c r="S147" s="22" t="str">
        <f>IF(SUMIFS($R:$R,$J:$J,"Yes",$B:$B,'Client Level Data'!$B147)&gt;0,"Chronic Flag","")</f>
        <v/>
      </c>
      <c r="T147" s="165" t="str">
        <f>IF(SUMIFS($R:$R,$G:$G,"Yes",$B:$B,'Client Level Data'!$B147)&gt;0,"PY Flag","")</f>
        <v/>
      </c>
      <c r="U147" s="165" t="str">
        <f>IF(SUMIFS($R:$R,$D:$D,"&lt;18",$G:$G,"Yes",$B:$B,'Client Level Data'!$B147)&gt;0,"PY &lt;18",IF(SUMIFS($R:$R,$D:$D,"&gt;17",$D:$D,"&lt;25",$G:$G,"Yes",$B:$B,'Client Level Data'!$B147)&gt;0,"PY &gt;17 &lt;25",""))</f>
        <v/>
      </c>
      <c r="V147" s="1">
        <f>IF('Client Level Data'!$K147="Yes",1,0)+IF('Client Level Data'!$L147="Yes",1,0)+IF('Client Level Data'!$M147="Yes",1,0)</f>
        <v>0</v>
      </c>
      <c r="W147" s="1" t="str">
        <f>IF(SUMIFS($R:$R,$F:$F,"Yes",$B:$B,'Client Level Data'!$B147)&gt;0,"Vet Flag","")</f>
        <v/>
      </c>
      <c r="X147" s="12">
        <f t="shared" si="44"/>
        <v>0</v>
      </c>
      <c r="Y147" s="12" t="e">
        <f t="shared" si="45"/>
        <v>#N/A</v>
      </c>
      <c r="Z147" s="12" t="e">
        <f t="shared" si="46"/>
        <v>#N/A</v>
      </c>
      <c r="AA147" s="12">
        <f t="shared" si="47"/>
        <v>0</v>
      </c>
      <c r="AB147" s="12" t="str">
        <f>IF(SUMIFS($R:$R,$H:$H,"Yes",$B:$B,'Client Level Data'!$B147)&gt;0,"CPY Flag","")</f>
        <v/>
      </c>
      <c r="AC147" s="12" t="str">
        <f t="shared" si="48"/>
        <v>N/A</v>
      </c>
      <c r="AD147" s="12">
        <f t="shared" si="49"/>
        <v>200</v>
      </c>
      <c r="AE147" s="12" t="str">
        <f t="shared" si="50"/>
        <v>Child</v>
      </c>
      <c r="AF147" s="12">
        <f t="shared" si="51"/>
        <v>200</v>
      </c>
      <c r="AG147" s="12" t="str">
        <f t="shared" si="52"/>
        <v>True</v>
      </c>
      <c r="AH147" s="12">
        <f t="shared" si="53"/>
        <v>200</v>
      </c>
      <c r="AI147" s="12" t="str">
        <f t="shared" si="54"/>
        <v>False</v>
      </c>
    </row>
    <row r="148" spans="1:35" s="133" customFormat="1" ht="15.75" customHeight="1" x14ac:dyDescent="0.25">
      <c r="A148" s="193">
        <v>241</v>
      </c>
      <c r="B148" s="175"/>
      <c r="C148" s="167"/>
      <c r="D148" s="168"/>
      <c r="E148" s="169"/>
      <c r="F148" s="175"/>
      <c r="G148" s="143"/>
      <c r="H148" s="175"/>
      <c r="I148" s="167"/>
      <c r="J148" s="126"/>
      <c r="K148" s="175"/>
      <c r="L148" s="167"/>
      <c r="M148" s="175"/>
      <c r="N148" s="167"/>
      <c r="O148" s="175"/>
      <c r="P148" s="167"/>
      <c r="Q148" s="170">
        <f>IF(COUNTIF($B$8:$B207,$B148)=1,1,0)</f>
        <v>0</v>
      </c>
      <c r="R148" s="171">
        <f>IFERROR((COUNTIF($A:$A,'Client Level Data'!$A148))/COUNTIF($B:$B,$B148),0)</f>
        <v>0</v>
      </c>
      <c r="S148" s="131" t="str">
        <f>IF(SUMIFS($R:$R,$J:$J,"Yes",$B:$B,'Client Level Data'!$B148)&gt;0,"Chronic Flag","")</f>
        <v/>
      </c>
      <c r="T148" s="171" t="str">
        <f>IF(SUMIFS($R:$R,$G:$G,"Yes",$B:$B,'Client Level Data'!$B148)&gt;0,"PY Flag","")</f>
        <v/>
      </c>
      <c r="U148" s="171" t="str">
        <f>IF(SUMIFS($R:$R,$D:$D,"&lt;18",$G:$G,"Yes",$B:$B,'Client Level Data'!$B148)&gt;0,"PY &lt;18",IF(SUMIFS($R:$R,$D:$D,"&gt;17",$D:$D,"&lt;25",$G:$G,"Yes",$B:$B,'Client Level Data'!$B148)&gt;0,"PY &gt;17 &lt;25",""))</f>
        <v/>
      </c>
      <c r="V148" s="172">
        <f>IF('Client Level Data'!$K148="Yes",1,0)+IF('Client Level Data'!$L148="Yes",1,0)+IF('Client Level Data'!$M148="Yes",1,0)</f>
        <v>0</v>
      </c>
      <c r="W148" s="172" t="str">
        <f>IF(SUMIFS($R:$R,$F:$F,"Yes",$B:$B,'Client Level Data'!$B148)&gt;0,"Vet Flag","")</f>
        <v/>
      </c>
      <c r="X148" s="133">
        <f t="shared" si="44"/>
        <v>0</v>
      </c>
      <c r="Y148" s="133" t="e">
        <f t="shared" si="45"/>
        <v>#N/A</v>
      </c>
      <c r="Z148" s="133" t="e">
        <f t="shared" si="46"/>
        <v>#N/A</v>
      </c>
      <c r="AA148" s="133">
        <f t="shared" si="47"/>
        <v>0</v>
      </c>
      <c r="AB148" s="133" t="str">
        <f>IF(SUMIFS($R:$R,$H:$H,"Yes",$B:$B,'Client Level Data'!$B148)&gt;0,"CPY Flag","")</f>
        <v/>
      </c>
      <c r="AC148" s="133" t="str">
        <f t="shared" si="48"/>
        <v>N/A</v>
      </c>
      <c r="AD148" s="133">
        <f t="shared" si="49"/>
        <v>200</v>
      </c>
      <c r="AE148" s="133" t="str">
        <f t="shared" si="50"/>
        <v>Child</v>
      </c>
      <c r="AF148" s="133">
        <f t="shared" si="51"/>
        <v>200</v>
      </c>
      <c r="AG148" s="133" t="str">
        <f t="shared" si="52"/>
        <v>True</v>
      </c>
      <c r="AH148" s="133">
        <f t="shared" si="53"/>
        <v>200</v>
      </c>
      <c r="AI148" s="133" t="str">
        <f t="shared" si="54"/>
        <v>False</v>
      </c>
    </row>
    <row r="149" spans="1:35" ht="15.75" customHeight="1" x14ac:dyDescent="0.25">
      <c r="A149" s="192">
        <v>242</v>
      </c>
      <c r="B149" s="115"/>
      <c r="C149" s="177"/>
      <c r="D149" s="122"/>
      <c r="E149" s="184"/>
      <c r="F149" s="115"/>
      <c r="G149" s="185"/>
      <c r="H149" s="115"/>
      <c r="I149" s="177"/>
      <c r="J149" s="179"/>
      <c r="K149" s="115"/>
      <c r="L149" s="185"/>
      <c r="M149" s="115"/>
      <c r="N149" s="185"/>
      <c r="O149" s="115"/>
      <c r="P149" s="177"/>
      <c r="Q149" s="166">
        <f>IF(COUNTIF($B$8:$B207,$B149)=1,1,0)</f>
        <v>0</v>
      </c>
      <c r="R149" s="165">
        <f>IFERROR((COUNTIF($A:$A,'Client Level Data'!$A149))/COUNTIF($B:$B,$B149),0)</f>
        <v>0</v>
      </c>
      <c r="S149" s="22" t="str">
        <f>IF(SUMIFS($R:$R,$J:$J,"Yes",$B:$B,'Client Level Data'!$B149)&gt;0,"Chronic Flag","")</f>
        <v/>
      </c>
      <c r="T149" s="165" t="str">
        <f>IF(SUMIFS($R:$R,$G:$G,"Yes",$B:$B,'Client Level Data'!$B149)&gt;0,"PY Flag","")</f>
        <v/>
      </c>
      <c r="U149" s="165" t="str">
        <f>IF(SUMIFS($R:$R,$D:$D,"&lt;18",$G:$G,"Yes",$B:$B,'Client Level Data'!$B149)&gt;0,"PY &lt;18",IF(SUMIFS($R:$R,$D:$D,"&gt;17",$D:$D,"&lt;25",$G:$G,"Yes",$B:$B,'Client Level Data'!$B149)&gt;0,"PY &gt;17 &lt;25",""))</f>
        <v/>
      </c>
      <c r="V149" s="1">
        <f>IF('Client Level Data'!$K149="Yes",1,0)+IF('Client Level Data'!$L149="Yes",1,0)+IF('Client Level Data'!$M149="Yes",1,0)</f>
        <v>0</v>
      </c>
      <c r="W149" s="1" t="str">
        <f>IF(SUMIFS($R:$R,$F:$F,"Yes",$B:$B,'Client Level Data'!$B149)&gt;0,"Vet Flag","")</f>
        <v/>
      </c>
      <c r="X149" s="12">
        <f t="shared" si="44"/>
        <v>0</v>
      </c>
      <c r="Y149" s="12" t="e">
        <f t="shared" si="45"/>
        <v>#N/A</v>
      </c>
      <c r="Z149" s="12" t="e">
        <f t="shared" si="46"/>
        <v>#N/A</v>
      </c>
      <c r="AA149" s="12">
        <f t="shared" si="47"/>
        <v>0</v>
      </c>
      <c r="AB149" s="12" t="str">
        <f>IF(SUMIFS($R:$R,$H:$H,"Yes",$B:$B,'Client Level Data'!$B149)&gt;0,"CPY Flag","")</f>
        <v/>
      </c>
      <c r="AC149" s="12" t="str">
        <f t="shared" si="48"/>
        <v>N/A</v>
      </c>
      <c r="AD149" s="12">
        <f t="shared" si="49"/>
        <v>200</v>
      </c>
      <c r="AE149" s="12" t="str">
        <f t="shared" si="50"/>
        <v>Child</v>
      </c>
      <c r="AF149" s="12">
        <f t="shared" si="51"/>
        <v>200</v>
      </c>
      <c r="AG149" s="12" t="str">
        <f t="shared" si="52"/>
        <v>True</v>
      </c>
      <c r="AH149" s="12">
        <f t="shared" si="53"/>
        <v>200</v>
      </c>
      <c r="AI149" s="12" t="str">
        <f t="shared" si="54"/>
        <v>False</v>
      </c>
    </row>
    <row r="150" spans="1:35" s="133" customFormat="1" ht="15.75" customHeight="1" x14ac:dyDescent="0.25">
      <c r="A150" s="193">
        <v>243</v>
      </c>
      <c r="B150" s="175"/>
      <c r="C150" s="167"/>
      <c r="D150" s="168"/>
      <c r="E150" s="169"/>
      <c r="F150" s="175"/>
      <c r="G150" s="143"/>
      <c r="H150" s="175"/>
      <c r="I150" s="167"/>
      <c r="J150" s="126"/>
      <c r="K150" s="142"/>
      <c r="L150" s="188"/>
      <c r="M150" s="142"/>
      <c r="N150" s="188"/>
      <c r="O150" s="142"/>
      <c r="P150" s="189"/>
      <c r="Q150" s="170">
        <f>IF(COUNTIF($B$8:$B207,$B150)=1,1,0)</f>
        <v>0</v>
      </c>
      <c r="R150" s="171">
        <f>IFERROR((COUNTIF($A:$A,'Client Level Data'!$A150))/COUNTIF($B:$B,$B150),0)</f>
        <v>0</v>
      </c>
      <c r="S150" s="131" t="str">
        <f>IF(SUMIFS($R:$R,$J:$J,"Yes",$B:$B,'Client Level Data'!$B150)&gt;0,"Chronic Flag","")</f>
        <v/>
      </c>
      <c r="T150" s="171" t="str">
        <f>IF(SUMIFS($R:$R,$G:$G,"Yes",$B:$B,'Client Level Data'!$B150)&gt;0,"PY Flag","")</f>
        <v/>
      </c>
      <c r="U150" s="171" t="str">
        <f>IF(SUMIFS($R:$R,$D:$D,"&lt;18",$G:$G,"Yes",$B:$B,'Client Level Data'!$B150)&gt;0,"PY &lt;18",IF(SUMIFS($R:$R,$D:$D,"&gt;17",$D:$D,"&lt;25",$G:$G,"Yes",$B:$B,'Client Level Data'!$B150)&gt;0,"PY &gt;17 &lt;25",""))</f>
        <v/>
      </c>
      <c r="V150" s="172">
        <f>IF('Client Level Data'!$K150="Yes",1,0)+IF('Client Level Data'!$L150="Yes",1,0)+IF('Client Level Data'!$M150="Yes",1,0)</f>
        <v>0</v>
      </c>
      <c r="W150" s="172" t="str">
        <f>IF(SUMIFS($R:$R,$F:$F,"Yes",$B:$B,'Client Level Data'!$B150)&gt;0,"Vet Flag","")</f>
        <v/>
      </c>
      <c r="X150" s="133">
        <f t="shared" si="44"/>
        <v>0</v>
      </c>
      <c r="Y150" s="133" t="e">
        <f t="shared" si="45"/>
        <v>#N/A</v>
      </c>
      <c r="Z150" s="133" t="e">
        <f t="shared" si="46"/>
        <v>#N/A</v>
      </c>
      <c r="AA150" s="133">
        <f t="shared" si="47"/>
        <v>0</v>
      </c>
      <c r="AB150" s="133" t="str">
        <f>IF(SUMIFS($R:$R,$H:$H,"Yes",$B:$B,'Client Level Data'!$B150)&gt;0,"CPY Flag","")</f>
        <v/>
      </c>
      <c r="AC150" s="133" t="str">
        <f t="shared" si="48"/>
        <v>N/A</v>
      </c>
      <c r="AD150" s="133">
        <f t="shared" si="49"/>
        <v>200</v>
      </c>
      <c r="AE150" s="133" t="str">
        <f t="shared" si="50"/>
        <v>Child</v>
      </c>
      <c r="AF150" s="133">
        <f t="shared" si="51"/>
        <v>200</v>
      </c>
      <c r="AG150" s="133" t="str">
        <f t="shared" si="52"/>
        <v>True</v>
      </c>
      <c r="AH150" s="133">
        <f t="shared" si="53"/>
        <v>200</v>
      </c>
      <c r="AI150" s="133" t="str">
        <f t="shared" si="54"/>
        <v>False</v>
      </c>
    </row>
    <row r="151" spans="1:35" ht="15.75" customHeight="1" x14ac:dyDescent="0.25">
      <c r="A151" s="192">
        <v>244</v>
      </c>
      <c r="B151" s="115"/>
      <c r="C151" s="177"/>
      <c r="D151" s="122"/>
      <c r="E151" s="184"/>
      <c r="F151" s="115"/>
      <c r="G151" s="185"/>
      <c r="H151" s="115"/>
      <c r="I151" s="177"/>
      <c r="J151" s="179"/>
      <c r="K151" s="115"/>
      <c r="L151" s="185"/>
      <c r="M151" s="115"/>
      <c r="N151" s="185"/>
      <c r="O151" s="115"/>
      <c r="P151" s="177"/>
      <c r="Q151" s="166">
        <f>IF(COUNTIF($B$8:$B207,$B151)=1,1,0)</f>
        <v>0</v>
      </c>
      <c r="R151" s="165">
        <f>IFERROR((COUNTIF($A:$A,'Client Level Data'!$A151))/COUNTIF($B:$B,$B151),0)</f>
        <v>0</v>
      </c>
      <c r="S151" s="22" t="str">
        <f>IF(SUMIFS($R:$R,$J:$J,"Yes",$B:$B,'Client Level Data'!$B151)&gt;0,"Chronic Flag","")</f>
        <v/>
      </c>
      <c r="T151" s="165" t="str">
        <f>IF(SUMIFS($R:$R,$G:$G,"Yes",$B:$B,'Client Level Data'!$B151)&gt;0,"PY Flag","")</f>
        <v/>
      </c>
      <c r="U151" s="165" t="str">
        <f>IF(SUMIFS($R:$R,$D:$D,"&lt;18",$G:$G,"Yes",$B:$B,'Client Level Data'!$B151)&gt;0,"PY &lt;18",IF(SUMIFS($R:$R,$D:$D,"&gt;17",$D:$D,"&lt;25",$G:$G,"Yes",$B:$B,'Client Level Data'!$B151)&gt;0,"PY &gt;17 &lt;25",""))</f>
        <v/>
      </c>
      <c r="V151" s="1">
        <f>IF('Client Level Data'!$K151="Yes",1,0)+IF('Client Level Data'!$L151="Yes",1,0)+IF('Client Level Data'!$M151="Yes",1,0)</f>
        <v>0</v>
      </c>
      <c r="W151" s="1" t="str">
        <f>IF(SUMIFS($R:$R,$F:$F,"Yes",$B:$B,'Client Level Data'!$B151)&gt;0,"Vet Flag","")</f>
        <v/>
      </c>
      <c r="X151" s="12">
        <f t="shared" si="44"/>
        <v>0</v>
      </c>
      <c r="Y151" s="12" t="e">
        <f t="shared" si="45"/>
        <v>#N/A</v>
      </c>
      <c r="Z151" s="12" t="e">
        <f t="shared" si="46"/>
        <v>#N/A</v>
      </c>
      <c r="AA151" s="12">
        <f t="shared" si="47"/>
        <v>0</v>
      </c>
      <c r="AB151" s="12" t="str">
        <f>IF(SUMIFS($R:$R,$H:$H,"Yes",$B:$B,'Client Level Data'!$B151)&gt;0,"CPY Flag","")</f>
        <v/>
      </c>
      <c r="AC151" s="12" t="str">
        <f t="shared" si="48"/>
        <v>N/A</v>
      </c>
      <c r="AD151" s="12">
        <f t="shared" si="49"/>
        <v>200</v>
      </c>
      <c r="AE151" s="12" t="str">
        <f t="shared" si="50"/>
        <v>Child</v>
      </c>
      <c r="AF151" s="12">
        <f t="shared" si="51"/>
        <v>200</v>
      </c>
      <c r="AG151" s="12" t="str">
        <f t="shared" si="52"/>
        <v>True</v>
      </c>
      <c r="AH151" s="12">
        <f t="shared" si="53"/>
        <v>200</v>
      </c>
      <c r="AI151" s="12" t="str">
        <f t="shared" si="54"/>
        <v>False</v>
      </c>
    </row>
    <row r="152" spans="1:35" s="133" customFormat="1" ht="15.75" customHeight="1" x14ac:dyDescent="0.25">
      <c r="A152" s="193">
        <v>245</v>
      </c>
      <c r="B152" s="175"/>
      <c r="C152" s="167"/>
      <c r="D152" s="168"/>
      <c r="E152" s="169"/>
      <c r="F152" s="175"/>
      <c r="G152" s="143"/>
      <c r="H152" s="175"/>
      <c r="I152" s="167"/>
      <c r="J152" s="126"/>
      <c r="K152" s="175"/>
      <c r="L152" s="167"/>
      <c r="M152" s="175"/>
      <c r="N152" s="167"/>
      <c r="O152" s="175"/>
      <c r="P152" s="167"/>
      <c r="Q152" s="170">
        <f>IF(COUNTIF($B$8:$B207,$B152)=1,1,0)</f>
        <v>0</v>
      </c>
      <c r="R152" s="171">
        <f>IFERROR((COUNTIF($A:$A,'Client Level Data'!$A152))/COUNTIF($B:$B,$B152),0)</f>
        <v>0</v>
      </c>
      <c r="S152" s="131" t="str">
        <f>IF(SUMIFS($R:$R,$J:$J,"Yes",$B:$B,'Client Level Data'!$B152)&gt;0,"Chronic Flag","")</f>
        <v/>
      </c>
      <c r="T152" s="171" t="str">
        <f>IF(SUMIFS($R:$R,$G:$G,"Yes",$B:$B,'Client Level Data'!$B152)&gt;0,"PY Flag","")</f>
        <v/>
      </c>
      <c r="U152" s="171" t="str">
        <f>IF(SUMIFS($R:$R,$D:$D,"&lt;18",$G:$G,"Yes",$B:$B,'Client Level Data'!$B152)&gt;0,"PY &lt;18",IF(SUMIFS($R:$R,$D:$D,"&gt;17",$D:$D,"&lt;25",$G:$G,"Yes",$B:$B,'Client Level Data'!$B152)&gt;0,"PY &gt;17 &lt;25",""))</f>
        <v/>
      </c>
      <c r="V152" s="172">
        <f>IF('Client Level Data'!$K152="Yes",1,0)+IF('Client Level Data'!$L152="Yes",1,0)+IF('Client Level Data'!$M152="Yes",1,0)</f>
        <v>0</v>
      </c>
      <c r="W152" s="172" t="str">
        <f>IF(SUMIFS($R:$R,$F:$F,"Yes",$B:$B,'Client Level Data'!$B152)&gt;0,"Vet Flag","")</f>
        <v/>
      </c>
      <c r="X152" s="133">
        <f t="shared" si="44"/>
        <v>0</v>
      </c>
      <c r="Y152" s="133" t="e">
        <f t="shared" si="45"/>
        <v>#N/A</v>
      </c>
      <c r="Z152" s="133" t="e">
        <f t="shared" si="46"/>
        <v>#N/A</v>
      </c>
      <c r="AA152" s="133">
        <f t="shared" si="47"/>
        <v>0</v>
      </c>
      <c r="AB152" s="133" t="str">
        <f>IF(SUMIFS($R:$R,$H:$H,"Yes",$B:$B,'Client Level Data'!$B152)&gt;0,"CPY Flag","")</f>
        <v/>
      </c>
      <c r="AC152" s="133" t="str">
        <f t="shared" si="48"/>
        <v>N/A</v>
      </c>
      <c r="AD152" s="133">
        <f t="shared" si="49"/>
        <v>200</v>
      </c>
      <c r="AE152" s="133" t="str">
        <f t="shared" si="50"/>
        <v>Child</v>
      </c>
      <c r="AF152" s="133">
        <f t="shared" si="51"/>
        <v>200</v>
      </c>
      <c r="AG152" s="133" t="str">
        <f t="shared" si="52"/>
        <v>True</v>
      </c>
      <c r="AH152" s="133">
        <f t="shared" si="53"/>
        <v>200</v>
      </c>
      <c r="AI152" s="133" t="str">
        <f t="shared" si="54"/>
        <v>False</v>
      </c>
    </row>
    <row r="153" spans="1:35" ht="15.75" customHeight="1" x14ac:dyDescent="0.25">
      <c r="A153" s="192">
        <v>246</v>
      </c>
      <c r="B153" s="115"/>
      <c r="C153" s="177"/>
      <c r="D153" s="122"/>
      <c r="E153" s="184"/>
      <c r="F153" s="115"/>
      <c r="G153" s="185"/>
      <c r="H153" s="115"/>
      <c r="I153" s="177"/>
      <c r="J153" s="179"/>
      <c r="K153" s="115"/>
      <c r="L153" s="185"/>
      <c r="M153" s="115"/>
      <c r="N153" s="185"/>
      <c r="O153" s="115"/>
      <c r="P153" s="177"/>
      <c r="Q153" s="166">
        <f>IF(COUNTIF($B$8:$B207,$B153)=1,1,0)</f>
        <v>0</v>
      </c>
      <c r="R153" s="165">
        <f>IFERROR((COUNTIF($A:$A,'Client Level Data'!$A153))/COUNTIF($B:$B,$B153),0)</f>
        <v>0</v>
      </c>
      <c r="S153" s="22" t="str">
        <f>IF(SUMIFS($R:$R,$J:$J,"Yes",$B:$B,'Client Level Data'!$B153)&gt;0,"Chronic Flag","")</f>
        <v/>
      </c>
      <c r="T153" s="165" t="str">
        <f>IF(SUMIFS($R:$R,$G:$G,"Yes",$B:$B,'Client Level Data'!$B153)&gt;0,"PY Flag","")</f>
        <v/>
      </c>
      <c r="U153" s="165" t="str">
        <f>IF(SUMIFS($R:$R,$D:$D,"&lt;18",$G:$G,"Yes",$B:$B,'Client Level Data'!$B153)&gt;0,"PY &lt;18",IF(SUMIFS($R:$R,$D:$D,"&gt;17",$D:$D,"&lt;25",$G:$G,"Yes",$B:$B,'Client Level Data'!$B153)&gt;0,"PY &gt;17 &lt;25",""))</f>
        <v/>
      </c>
      <c r="V153" s="1">
        <f>IF('Client Level Data'!$K153="Yes",1,0)+IF('Client Level Data'!$L153="Yes",1,0)+IF('Client Level Data'!$M153="Yes",1,0)</f>
        <v>0</v>
      </c>
      <c r="W153" s="1" t="str">
        <f>IF(SUMIFS($R:$R,$F:$F,"Yes",$B:$B,'Client Level Data'!$B153)&gt;0,"Vet Flag","")</f>
        <v/>
      </c>
      <c r="X153" s="12">
        <f t="shared" si="44"/>
        <v>0</v>
      </c>
      <c r="Y153" s="12" t="e">
        <f t="shared" si="45"/>
        <v>#N/A</v>
      </c>
      <c r="Z153" s="12" t="e">
        <f t="shared" si="46"/>
        <v>#N/A</v>
      </c>
      <c r="AA153" s="12">
        <f t="shared" si="47"/>
        <v>0</v>
      </c>
      <c r="AB153" s="12" t="str">
        <f>IF(SUMIFS($R:$R,$H:$H,"Yes",$B:$B,'Client Level Data'!$B153)&gt;0,"CPY Flag","")</f>
        <v/>
      </c>
      <c r="AC153" s="12" t="str">
        <f t="shared" si="48"/>
        <v>N/A</v>
      </c>
      <c r="AD153" s="12">
        <f t="shared" si="49"/>
        <v>200</v>
      </c>
      <c r="AE153" s="12" t="str">
        <f t="shared" si="50"/>
        <v>Child</v>
      </c>
      <c r="AF153" s="12">
        <f t="shared" si="51"/>
        <v>200</v>
      </c>
      <c r="AG153" s="12" t="str">
        <f t="shared" si="52"/>
        <v>True</v>
      </c>
      <c r="AH153" s="12">
        <f t="shared" si="53"/>
        <v>200</v>
      </c>
      <c r="AI153" s="12" t="str">
        <f t="shared" si="54"/>
        <v>False</v>
      </c>
    </row>
    <row r="154" spans="1:35" s="133" customFormat="1" ht="15.75" customHeight="1" x14ac:dyDescent="0.25">
      <c r="A154" s="193">
        <v>247</v>
      </c>
      <c r="B154" s="175"/>
      <c r="C154" s="167"/>
      <c r="D154" s="168"/>
      <c r="E154" s="169"/>
      <c r="F154" s="175"/>
      <c r="G154" s="143"/>
      <c r="H154" s="175"/>
      <c r="I154" s="167"/>
      <c r="J154" s="126"/>
      <c r="K154" s="175"/>
      <c r="L154" s="167"/>
      <c r="M154" s="175"/>
      <c r="N154" s="167"/>
      <c r="O154" s="175"/>
      <c r="P154" s="167"/>
      <c r="Q154" s="170">
        <f>IF(COUNTIF($B$8:$B207,$B154)=1,1,0)</f>
        <v>0</v>
      </c>
      <c r="R154" s="171">
        <f>IFERROR((COUNTIF($A:$A,'Client Level Data'!$A154))/COUNTIF($B:$B,$B154),0)</f>
        <v>0</v>
      </c>
      <c r="S154" s="131" t="str">
        <f>IF(SUMIFS($R:$R,$J:$J,"Yes",$B:$B,'Client Level Data'!$B154)&gt;0,"Chronic Flag","")</f>
        <v/>
      </c>
      <c r="T154" s="171" t="str">
        <f>IF(SUMIFS($R:$R,$G:$G,"Yes",$B:$B,'Client Level Data'!$B154)&gt;0,"PY Flag","")</f>
        <v/>
      </c>
      <c r="U154" s="171" t="str">
        <f>IF(SUMIFS($R:$R,$D:$D,"&lt;18",$G:$G,"Yes",$B:$B,'Client Level Data'!$B154)&gt;0,"PY &lt;18",IF(SUMIFS($R:$R,$D:$D,"&gt;17",$D:$D,"&lt;25",$G:$G,"Yes",$B:$B,'Client Level Data'!$B154)&gt;0,"PY &gt;17 &lt;25",""))</f>
        <v/>
      </c>
      <c r="V154" s="172">
        <f>IF('Client Level Data'!$K154="Yes",1,0)+IF('Client Level Data'!$L154="Yes",1,0)+IF('Client Level Data'!$M154="Yes",1,0)</f>
        <v>0</v>
      </c>
      <c r="W154" s="172" t="str">
        <f>IF(SUMIFS($R:$R,$F:$F,"Yes",$B:$B,'Client Level Data'!$B154)&gt;0,"Vet Flag","")</f>
        <v/>
      </c>
      <c r="X154" s="133">
        <f t="shared" si="44"/>
        <v>0</v>
      </c>
      <c r="Y154" s="133" t="e">
        <f t="shared" si="45"/>
        <v>#N/A</v>
      </c>
      <c r="Z154" s="133" t="e">
        <f t="shared" si="46"/>
        <v>#N/A</v>
      </c>
      <c r="AA154" s="133">
        <f t="shared" si="47"/>
        <v>0</v>
      </c>
      <c r="AB154" s="133" t="str">
        <f>IF(SUMIFS($R:$R,$H:$H,"Yes",$B:$B,'Client Level Data'!$B154)&gt;0,"CPY Flag","")</f>
        <v/>
      </c>
      <c r="AC154" s="133" t="str">
        <f t="shared" si="48"/>
        <v>N/A</v>
      </c>
      <c r="AD154" s="133">
        <f t="shared" si="49"/>
        <v>200</v>
      </c>
      <c r="AE154" s="133" t="str">
        <f t="shared" si="50"/>
        <v>Child</v>
      </c>
      <c r="AF154" s="133">
        <f t="shared" si="51"/>
        <v>200</v>
      </c>
      <c r="AG154" s="133" t="str">
        <f t="shared" si="52"/>
        <v>True</v>
      </c>
      <c r="AH154" s="133">
        <f t="shared" si="53"/>
        <v>200</v>
      </c>
      <c r="AI154" s="133" t="str">
        <f t="shared" si="54"/>
        <v>False</v>
      </c>
    </row>
    <row r="155" spans="1:35" ht="15.75" customHeight="1" x14ac:dyDescent="0.25">
      <c r="A155" s="192">
        <v>248</v>
      </c>
      <c r="B155" s="115"/>
      <c r="C155" s="177"/>
      <c r="D155" s="122"/>
      <c r="E155" s="184"/>
      <c r="F155" s="115"/>
      <c r="G155" s="185"/>
      <c r="H155" s="115"/>
      <c r="I155" s="177"/>
      <c r="J155" s="179"/>
      <c r="K155" s="115"/>
      <c r="L155" s="185"/>
      <c r="M155" s="115"/>
      <c r="N155" s="185"/>
      <c r="O155" s="115"/>
      <c r="P155" s="177"/>
      <c r="Q155" s="166">
        <f>IF(COUNTIF($B$8:$B207,$B155)=1,1,0)</f>
        <v>0</v>
      </c>
      <c r="R155" s="165">
        <f>IFERROR((COUNTIF($A:$A,'Client Level Data'!$A155))/COUNTIF($B:$B,$B155),0)</f>
        <v>0</v>
      </c>
      <c r="S155" s="22" t="str">
        <f>IF(SUMIFS($R:$R,$J:$J,"Yes",$B:$B,'Client Level Data'!$B155)&gt;0,"Chronic Flag","")</f>
        <v/>
      </c>
      <c r="T155" s="165" t="str">
        <f>IF(SUMIFS($R:$R,$G:$G,"Yes",$B:$B,'Client Level Data'!$B155)&gt;0,"PY Flag","")</f>
        <v/>
      </c>
      <c r="U155" s="165" t="str">
        <f>IF(SUMIFS($R:$R,$D:$D,"&lt;18",$G:$G,"Yes",$B:$B,'Client Level Data'!$B155)&gt;0,"PY &lt;18",IF(SUMIFS($R:$R,$D:$D,"&gt;17",$D:$D,"&lt;25",$G:$G,"Yes",$B:$B,'Client Level Data'!$B155)&gt;0,"PY &gt;17 &lt;25",""))</f>
        <v/>
      </c>
      <c r="V155" s="1">
        <f>IF('Client Level Data'!$K155="Yes",1,0)+IF('Client Level Data'!$L155="Yes",1,0)+IF('Client Level Data'!$M155="Yes",1,0)</f>
        <v>0</v>
      </c>
      <c r="W155" s="1" t="str">
        <f>IF(SUMIFS($R:$R,$F:$F,"Yes",$B:$B,'Client Level Data'!$B155)&gt;0,"Vet Flag","")</f>
        <v/>
      </c>
      <c r="X155" s="12">
        <f t="shared" si="44"/>
        <v>0</v>
      </c>
      <c r="Y155" s="12" t="e">
        <f t="shared" si="45"/>
        <v>#N/A</v>
      </c>
      <c r="Z155" s="12" t="e">
        <f t="shared" si="46"/>
        <v>#N/A</v>
      </c>
      <c r="AA155" s="12">
        <f t="shared" si="47"/>
        <v>0</v>
      </c>
      <c r="AB155" s="12" t="str">
        <f>IF(SUMIFS($R:$R,$H:$H,"Yes",$B:$B,'Client Level Data'!$B155)&gt;0,"CPY Flag","")</f>
        <v/>
      </c>
      <c r="AC155" s="12" t="str">
        <f t="shared" si="48"/>
        <v>N/A</v>
      </c>
      <c r="AD155" s="12">
        <f t="shared" si="49"/>
        <v>200</v>
      </c>
      <c r="AE155" s="12" t="str">
        <f t="shared" si="50"/>
        <v>Child</v>
      </c>
      <c r="AF155" s="12">
        <f t="shared" si="51"/>
        <v>200</v>
      </c>
      <c r="AG155" s="12" t="str">
        <f t="shared" si="52"/>
        <v>True</v>
      </c>
      <c r="AH155" s="12">
        <f t="shared" si="53"/>
        <v>200</v>
      </c>
      <c r="AI155" s="12" t="str">
        <f t="shared" si="54"/>
        <v>False</v>
      </c>
    </row>
    <row r="156" spans="1:35" s="133" customFormat="1" ht="15.75" customHeight="1" x14ac:dyDescent="0.25">
      <c r="A156" s="193">
        <v>249</v>
      </c>
      <c r="B156" s="175"/>
      <c r="C156" s="167"/>
      <c r="D156" s="168"/>
      <c r="E156" s="169"/>
      <c r="F156" s="175"/>
      <c r="G156" s="143"/>
      <c r="H156" s="175"/>
      <c r="I156" s="167"/>
      <c r="J156" s="126"/>
      <c r="K156" s="175"/>
      <c r="L156" s="167"/>
      <c r="M156" s="175"/>
      <c r="N156" s="167"/>
      <c r="O156" s="175"/>
      <c r="P156" s="167"/>
      <c r="Q156" s="170">
        <f>IF(COUNTIF($B$8:$B207,$B156)=1,1,0)</f>
        <v>0</v>
      </c>
      <c r="R156" s="171">
        <f>IFERROR((COUNTIF($A:$A,'Client Level Data'!$A156))/COUNTIF($B:$B,$B156),0)</f>
        <v>0</v>
      </c>
      <c r="S156" s="131" t="str">
        <f>IF(SUMIFS($R:$R,$J:$J,"Yes",$B:$B,'Client Level Data'!$B156)&gt;0,"Chronic Flag","")</f>
        <v/>
      </c>
      <c r="T156" s="171" t="str">
        <f>IF(SUMIFS($R:$R,$G:$G,"Yes",$B:$B,'Client Level Data'!$B156)&gt;0,"PY Flag","")</f>
        <v/>
      </c>
      <c r="U156" s="171" t="str">
        <f>IF(SUMIFS($R:$R,$D:$D,"&lt;18",$G:$G,"Yes",$B:$B,'Client Level Data'!$B156)&gt;0,"PY &lt;18",IF(SUMIFS($R:$R,$D:$D,"&gt;17",$D:$D,"&lt;25",$G:$G,"Yes",$B:$B,'Client Level Data'!$B156)&gt;0,"PY &gt;17 &lt;25",""))</f>
        <v/>
      </c>
      <c r="V156" s="172">
        <f>IF('Client Level Data'!$K156="Yes",1,0)+IF('Client Level Data'!$L156="Yes",1,0)+IF('Client Level Data'!$M156="Yes",1,0)</f>
        <v>0</v>
      </c>
      <c r="W156" s="172" t="str">
        <f>IF(SUMIFS($R:$R,$F:$F,"Yes",$B:$B,'Client Level Data'!$B156)&gt;0,"Vet Flag","")</f>
        <v/>
      </c>
      <c r="X156" s="133">
        <f t="shared" si="44"/>
        <v>0</v>
      </c>
      <c r="Y156" s="133" t="e">
        <f t="shared" si="45"/>
        <v>#N/A</v>
      </c>
      <c r="Z156" s="133" t="e">
        <f t="shared" si="46"/>
        <v>#N/A</v>
      </c>
      <c r="AA156" s="133">
        <f t="shared" si="47"/>
        <v>0</v>
      </c>
      <c r="AB156" s="133" t="str">
        <f>IF(SUMIFS($R:$R,$H:$H,"Yes",$B:$B,'Client Level Data'!$B156)&gt;0,"CPY Flag","")</f>
        <v/>
      </c>
      <c r="AC156" s="133" t="str">
        <f t="shared" si="48"/>
        <v>N/A</v>
      </c>
      <c r="AD156" s="133">
        <f t="shared" si="49"/>
        <v>200</v>
      </c>
      <c r="AE156" s="133" t="str">
        <f t="shared" si="50"/>
        <v>Child</v>
      </c>
      <c r="AF156" s="133">
        <f t="shared" si="51"/>
        <v>200</v>
      </c>
      <c r="AG156" s="133" t="str">
        <f t="shared" si="52"/>
        <v>True</v>
      </c>
      <c r="AH156" s="133">
        <f t="shared" si="53"/>
        <v>200</v>
      </c>
      <c r="AI156" s="133" t="str">
        <f t="shared" si="54"/>
        <v>False</v>
      </c>
    </row>
    <row r="157" spans="1:35" ht="15.75" customHeight="1" x14ac:dyDescent="0.25">
      <c r="A157" s="192">
        <v>250</v>
      </c>
      <c r="B157" s="115"/>
      <c r="C157" s="177"/>
      <c r="D157" s="122"/>
      <c r="E157" s="184"/>
      <c r="F157" s="115"/>
      <c r="G157" s="185"/>
      <c r="H157" s="115"/>
      <c r="I157" s="177"/>
      <c r="J157" s="179"/>
      <c r="K157" s="115"/>
      <c r="L157" s="185"/>
      <c r="M157" s="115"/>
      <c r="N157" s="185"/>
      <c r="O157" s="115"/>
      <c r="P157" s="177"/>
      <c r="Q157" s="166">
        <f>IF(COUNTIF($B$8:$B207,$B157)=1,1,0)</f>
        <v>0</v>
      </c>
      <c r="R157" s="165">
        <f>IFERROR((COUNTIF($A:$A,'Client Level Data'!$A157))/COUNTIF($B:$B,$B157),0)</f>
        <v>0</v>
      </c>
      <c r="S157" s="22" t="str">
        <f>IF(SUMIFS($R:$R,$J:$J,"Yes",$B:$B,'Client Level Data'!$B157)&gt;0,"Chronic Flag","")</f>
        <v/>
      </c>
      <c r="T157" s="165" t="str">
        <f>IF(SUMIFS($R:$R,$G:$G,"Yes",$B:$B,'Client Level Data'!$B157)&gt;0,"PY Flag","")</f>
        <v/>
      </c>
      <c r="U157" s="165" t="str">
        <f>IF(SUMIFS($R:$R,$D:$D,"&lt;18",$G:$G,"Yes",$B:$B,'Client Level Data'!$B157)&gt;0,"PY &lt;18",IF(SUMIFS($R:$R,$D:$D,"&gt;17",$D:$D,"&lt;25",$G:$G,"Yes",$B:$B,'Client Level Data'!$B157)&gt;0,"PY &gt;17 &lt;25",""))</f>
        <v/>
      </c>
      <c r="V157" s="1">
        <f>IF('Client Level Data'!$K157="Yes",1,0)+IF('Client Level Data'!$L157="Yes",1,0)+IF('Client Level Data'!$M157="Yes",1,0)</f>
        <v>0</v>
      </c>
      <c r="W157" s="1" t="str">
        <f>IF(SUMIFS($R:$R,$F:$F,"Yes",$B:$B,'Client Level Data'!$B157)&gt;0,"Vet Flag","")</f>
        <v/>
      </c>
      <c r="X157" s="12">
        <f t="shared" si="44"/>
        <v>0</v>
      </c>
      <c r="Y157" s="12" t="e">
        <f t="shared" si="45"/>
        <v>#N/A</v>
      </c>
      <c r="Z157" s="12" t="e">
        <f t="shared" si="46"/>
        <v>#N/A</v>
      </c>
      <c r="AA157" s="12">
        <f t="shared" si="47"/>
        <v>0</v>
      </c>
      <c r="AB157" s="12" t="str">
        <f>IF(SUMIFS($R:$R,$H:$H,"Yes",$B:$B,'Client Level Data'!$B157)&gt;0,"CPY Flag","")</f>
        <v/>
      </c>
      <c r="AC157" s="12" t="str">
        <f t="shared" si="48"/>
        <v>N/A</v>
      </c>
      <c r="AD157" s="12">
        <f t="shared" si="49"/>
        <v>200</v>
      </c>
      <c r="AE157" s="12" t="str">
        <f t="shared" si="50"/>
        <v>Child</v>
      </c>
      <c r="AF157" s="12">
        <f t="shared" si="51"/>
        <v>200</v>
      </c>
      <c r="AG157" s="12" t="str">
        <f t="shared" si="52"/>
        <v>True</v>
      </c>
      <c r="AH157" s="12">
        <f t="shared" si="53"/>
        <v>200</v>
      </c>
      <c r="AI157" s="12" t="str">
        <f t="shared" si="54"/>
        <v>False</v>
      </c>
    </row>
    <row r="158" spans="1:35" s="133" customFormat="1" ht="15.75" customHeight="1" x14ac:dyDescent="0.25">
      <c r="A158" s="193">
        <v>251</v>
      </c>
      <c r="B158" s="175"/>
      <c r="C158" s="167"/>
      <c r="D158" s="168"/>
      <c r="E158" s="169"/>
      <c r="F158" s="175"/>
      <c r="G158" s="143"/>
      <c r="H158" s="175"/>
      <c r="I158" s="167"/>
      <c r="J158" s="126"/>
      <c r="K158" s="175"/>
      <c r="L158" s="167"/>
      <c r="M158" s="175"/>
      <c r="N158" s="167"/>
      <c r="O158" s="175"/>
      <c r="P158" s="167"/>
      <c r="Q158" s="170">
        <f>IF(COUNTIF($B$8:$B207,$B158)=1,1,0)</f>
        <v>0</v>
      </c>
      <c r="R158" s="171">
        <f>IFERROR((COUNTIF($A:$A,'Client Level Data'!$A158))/COUNTIF($B:$B,$B158),0)</f>
        <v>0</v>
      </c>
      <c r="S158" s="131" t="str">
        <f>IF(SUMIFS($R:$R,$J:$J,"Yes",$B:$B,'Client Level Data'!$B158)&gt;0,"Chronic Flag","")</f>
        <v/>
      </c>
      <c r="T158" s="171" t="str">
        <f>IF(SUMIFS($R:$R,$G:$G,"Yes",$B:$B,'Client Level Data'!$B158)&gt;0,"PY Flag","")</f>
        <v/>
      </c>
      <c r="U158" s="171" t="str">
        <f>IF(SUMIFS($R:$R,$D:$D,"&lt;18",$G:$G,"Yes",$B:$B,'Client Level Data'!$B158)&gt;0,"PY &lt;18",IF(SUMIFS($R:$R,$D:$D,"&gt;17",$D:$D,"&lt;25",$G:$G,"Yes",$B:$B,'Client Level Data'!$B158)&gt;0,"PY &gt;17 &lt;25",""))</f>
        <v/>
      </c>
      <c r="V158" s="172">
        <f>IF('Client Level Data'!$K158="Yes",1,0)+IF('Client Level Data'!$L158="Yes",1,0)+IF('Client Level Data'!$M158="Yes",1,0)</f>
        <v>0</v>
      </c>
      <c r="W158" s="172" t="str">
        <f>IF(SUMIFS($R:$R,$F:$F,"Yes",$B:$B,'Client Level Data'!$B158)&gt;0,"Vet Flag","")</f>
        <v/>
      </c>
      <c r="X158" s="133">
        <f t="shared" si="44"/>
        <v>0</v>
      </c>
      <c r="Y158" s="133" t="e">
        <f t="shared" si="45"/>
        <v>#N/A</v>
      </c>
      <c r="Z158" s="133" t="e">
        <f t="shared" si="46"/>
        <v>#N/A</v>
      </c>
      <c r="AA158" s="133">
        <f t="shared" si="47"/>
        <v>0</v>
      </c>
      <c r="AB158" s="133" t="str">
        <f>IF(SUMIFS($R:$R,$H:$H,"Yes",$B:$B,'Client Level Data'!$B158)&gt;0,"CPY Flag","")</f>
        <v/>
      </c>
      <c r="AC158" s="133" t="str">
        <f t="shared" si="48"/>
        <v>N/A</v>
      </c>
      <c r="AD158" s="133">
        <f t="shared" si="49"/>
        <v>200</v>
      </c>
      <c r="AE158" s="133" t="str">
        <f t="shared" si="50"/>
        <v>Child</v>
      </c>
      <c r="AF158" s="133">
        <f t="shared" si="51"/>
        <v>200</v>
      </c>
      <c r="AG158" s="133" t="str">
        <f t="shared" si="52"/>
        <v>True</v>
      </c>
      <c r="AH158" s="133">
        <f t="shared" si="53"/>
        <v>200</v>
      </c>
      <c r="AI158" s="133" t="str">
        <f t="shared" si="54"/>
        <v>False</v>
      </c>
    </row>
    <row r="159" spans="1:35" ht="15.75" customHeight="1" x14ac:dyDescent="0.25">
      <c r="A159" s="192">
        <v>252</v>
      </c>
      <c r="B159" s="115"/>
      <c r="C159" s="177"/>
      <c r="D159" s="122"/>
      <c r="E159" s="184"/>
      <c r="F159" s="115"/>
      <c r="G159" s="185"/>
      <c r="H159" s="115"/>
      <c r="I159" s="177"/>
      <c r="J159" s="179"/>
      <c r="K159" s="115"/>
      <c r="L159" s="185"/>
      <c r="M159" s="115"/>
      <c r="N159" s="185"/>
      <c r="O159" s="115"/>
      <c r="P159" s="177"/>
      <c r="Q159" s="166">
        <f>IF(COUNTIF($B$8:$B207,$B159)=1,1,0)</f>
        <v>0</v>
      </c>
      <c r="R159" s="165">
        <f>IFERROR((COUNTIF($A:$A,'Client Level Data'!$A159))/COUNTIF($B:$B,$B159),0)</f>
        <v>0</v>
      </c>
      <c r="S159" s="22" t="str">
        <f>IF(SUMIFS($R:$R,$J:$J,"Yes",$B:$B,'Client Level Data'!$B159)&gt;0,"Chronic Flag","")</f>
        <v/>
      </c>
      <c r="T159" s="165" t="str">
        <f>IF(SUMIFS($R:$R,$G:$G,"Yes",$B:$B,'Client Level Data'!$B159)&gt;0,"PY Flag","")</f>
        <v/>
      </c>
      <c r="U159" s="165" t="str">
        <f>IF(SUMIFS($R:$R,$D:$D,"&lt;18",$G:$G,"Yes",$B:$B,'Client Level Data'!$B159)&gt;0,"PY &lt;18",IF(SUMIFS($R:$R,$D:$D,"&gt;17",$D:$D,"&lt;25",$G:$G,"Yes",$B:$B,'Client Level Data'!$B159)&gt;0,"PY &gt;17 &lt;25",""))</f>
        <v/>
      </c>
      <c r="V159" s="1">
        <f>IF('Client Level Data'!$K159="Yes",1,0)+IF('Client Level Data'!$L159="Yes",1,0)+IF('Client Level Data'!$M159="Yes",1,0)</f>
        <v>0</v>
      </c>
      <c r="W159" s="1" t="str">
        <f>IF(SUMIFS($R:$R,$F:$F,"Yes",$B:$B,'Client Level Data'!$B159)&gt;0,"Vet Flag","")</f>
        <v/>
      </c>
      <c r="X159" s="12">
        <f t="shared" si="44"/>
        <v>0</v>
      </c>
      <c r="Y159" s="12" t="e">
        <f t="shared" si="45"/>
        <v>#N/A</v>
      </c>
      <c r="Z159" s="12" t="e">
        <f t="shared" si="46"/>
        <v>#N/A</v>
      </c>
      <c r="AA159" s="12">
        <f t="shared" si="47"/>
        <v>0</v>
      </c>
      <c r="AB159" s="12" t="str">
        <f>IF(SUMIFS($R:$R,$H:$H,"Yes",$B:$B,'Client Level Data'!$B159)&gt;0,"CPY Flag","")</f>
        <v/>
      </c>
      <c r="AC159" s="12" t="str">
        <f t="shared" si="48"/>
        <v>N/A</v>
      </c>
      <c r="AD159" s="12">
        <f t="shared" si="49"/>
        <v>200</v>
      </c>
      <c r="AE159" s="12" t="str">
        <f t="shared" si="50"/>
        <v>Child</v>
      </c>
      <c r="AF159" s="12">
        <f t="shared" si="51"/>
        <v>200</v>
      </c>
      <c r="AG159" s="12" t="str">
        <f t="shared" si="52"/>
        <v>True</v>
      </c>
      <c r="AH159" s="12">
        <f t="shared" si="53"/>
        <v>200</v>
      </c>
      <c r="AI159" s="12" t="str">
        <f t="shared" si="54"/>
        <v>False</v>
      </c>
    </row>
    <row r="160" spans="1:35" s="133" customFormat="1" ht="15.75" customHeight="1" x14ac:dyDescent="0.25">
      <c r="A160" s="193">
        <v>253</v>
      </c>
      <c r="B160" s="175"/>
      <c r="C160" s="167"/>
      <c r="D160" s="168"/>
      <c r="E160" s="169"/>
      <c r="F160" s="175"/>
      <c r="G160" s="143"/>
      <c r="H160" s="175"/>
      <c r="I160" s="167"/>
      <c r="J160" s="126"/>
      <c r="K160" s="175"/>
      <c r="L160" s="167"/>
      <c r="M160" s="175"/>
      <c r="N160" s="167"/>
      <c r="O160" s="175"/>
      <c r="P160" s="167"/>
      <c r="Q160" s="170">
        <f>IF(COUNTIF($B$8:$B207,$B160)=1,1,0)</f>
        <v>0</v>
      </c>
      <c r="R160" s="171">
        <f>IFERROR((COUNTIF($A:$A,'Client Level Data'!$A160))/COUNTIF($B:$B,$B160),0)</f>
        <v>0</v>
      </c>
      <c r="S160" s="131" t="str">
        <f>IF(SUMIFS($R:$R,$J:$J,"Yes",$B:$B,'Client Level Data'!$B160)&gt;0,"Chronic Flag","")</f>
        <v/>
      </c>
      <c r="T160" s="171" t="str">
        <f>IF(SUMIFS($R:$R,$G:$G,"Yes",$B:$B,'Client Level Data'!$B160)&gt;0,"PY Flag","")</f>
        <v/>
      </c>
      <c r="U160" s="171" t="str">
        <f>IF(SUMIFS($R:$R,$D:$D,"&lt;18",$G:$G,"Yes",$B:$B,'Client Level Data'!$B160)&gt;0,"PY &lt;18",IF(SUMIFS($R:$R,$D:$D,"&gt;17",$D:$D,"&lt;25",$G:$G,"Yes",$B:$B,'Client Level Data'!$B160)&gt;0,"PY &gt;17 &lt;25",""))</f>
        <v/>
      </c>
      <c r="V160" s="172">
        <f>IF('Client Level Data'!$K160="Yes",1,0)+IF('Client Level Data'!$L160="Yes",1,0)+IF('Client Level Data'!$M160="Yes",1,0)</f>
        <v>0</v>
      </c>
      <c r="W160" s="172" t="str">
        <f>IF(SUMIFS($R:$R,$F:$F,"Yes",$B:$B,'Client Level Data'!$B160)&gt;0,"Vet Flag","")</f>
        <v/>
      </c>
      <c r="X160" s="133">
        <f t="shared" si="44"/>
        <v>0</v>
      </c>
      <c r="Y160" s="133" t="e">
        <f t="shared" si="45"/>
        <v>#N/A</v>
      </c>
      <c r="Z160" s="133" t="e">
        <f t="shared" si="46"/>
        <v>#N/A</v>
      </c>
      <c r="AA160" s="133">
        <f t="shared" si="47"/>
        <v>0</v>
      </c>
      <c r="AB160" s="133" t="str">
        <f>IF(SUMIFS($R:$R,$H:$H,"Yes",$B:$B,'Client Level Data'!$B160)&gt;0,"CPY Flag","")</f>
        <v/>
      </c>
      <c r="AC160" s="133" t="str">
        <f t="shared" si="48"/>
        <v>N/A</v>
      </c>
      <c r="AD160" s="133">
        <f t="shared" si="49"/>
        <v>200</v>
      </c>
      <c r="AE160" s="133" t="str">
        <f t="shared" si="50"/>
        <v>Child</v>
      </c>
      <c r="AF160" s="133">
        <f t="shared" si="51"/>
        <v>200</v>
      </c>
      <c r="AG160" s="133" t="str">
        <f t="shared" si="52"/>
        <v>True</v>
      </c>
      <c r="AH160" s="133">
        <f t="shared" si="53"/>
        <v>200</v>
      </c>
      <c r="AI160" s="133" t="str">
        <f t="shared" si="54"/>
        <v>False</v>
      </c>
    </row>
    <row r="161" spans="1:35" ht="15.75" customHeight="1" x14ac:dyDescent="0.25">
      <c r="A161" s="192">
        <v>254</v>
      </c>
      <c r="B161" s="115"/>
      <c r="C161" s="177"/>
      <c r="D161" s="122"/>
      <c r="E161" s="184"/>
      <c r="F161" s="115"/>
      <c r="G161" s="185"/>
      <c r="H161" s="115"/>
      <c r="I161" s="177"/>
      <c r="J161" s="179"/>
      <c r="K161" s="115"/>
      <c r="L161" s="185"/>
      <c r="M161" s="115"/>
      <c r="N161" s="185"/>
      <c r="O161" s="115"/>
      <c r="P161" s="177"/>
      <c r="Q161" s="166">
        <f>IF(COUNTIF($B$8:$B207,$B161)=1,1,0)</f>
        <v>0</v>
      </c>
      <c r="R161" s="165">
        <f>IFERROR((COUNTIF($A:$A,'Client Level Data'!$A161))/COUNTIF($B:$B,$B161),0)</f>
        <v>0</v>
      </c>
      <c r="S161" s="22" t="str">
        <f>IF(SUMIFS($R:$R,$J:$J,"Yes",$B:$B,'Client Level Data'!$B161)&gt;0,"Chronic Flag","")</f>
        <v/>
      </c>
      <c r="T161" s="165" t="str">
        <f>IF(SUMIFS($R:$R,$G:$G,"Yes",$B:$B,'Client Level Data'!$B161)&gt;0,"PY Flag","")</f>
        <v/>
      </c>
      <c r="U161" s="165" t="str">
        <f>IF(SUMIFS($R:$R,$D:$D,"&lt;18",$G:$G,"Yes",$B:$B,'Client Level Data'!$B161)&gt;0,"PY &lt;18",IF(SUMIFS($R:$R,$D:$D,"&gt;17",$D:$D,"&lt;25",$G:$G,"Yes",$B:$B,'Client Level Data'!$B161)&gt;0,"PY &gt;17 &lt;25",""))</f>
        <v/>
      </c>
      <c r="V161" s="1">
        <f>IF('Client Level Data'!$K161="Yes",1,0)+IF('Client Level Data'!$L161="Yes",1,0)+IF('Client Level Data'!$M161="Yes",1,0)</f>
        <v>0</v>
      </c>
      <c r="W161" s="1" t="str">
        <f>IF(SUMIFS($R:$R,$F:$F,"Yes",$B:$B,'Client Level Data'!$B161)&gt;0,"Vet Flag","")</f>
        <v/>
      </c>
      <c r="X161" s="12">
        <f t="shared" si="44"/>
        <v>0</v>
      </c>
      <c r="Y161" s="12" t="e">
        <f t="shared" si="45"/>
        <v>#N/A</v>
      </c>
      <c r="Z161" s="12" t="e">
        <f t="shared" si="46"/>
        <v>#N/A</v>
      </c>
      <c r="AA161" s="12">
        <f t="shared" si="47"/>
        <v>0</v>
      </c>
      <c r="AB161" s="12" t="str">
        <f>IF(SUMIFS($R:$R,$H:$H,"Yes",$B:$B,'Client Level Data'!$B161)&gt;0,"CPY Flag","")</f>
        <v/>
      </c>
      <c r="AC161" s="12" t="str">
        <f t="shared" si="48"/>
        <v>N/A</v>
      </c>
      <c r="AD161" s="12">
        <f t="shared" si="49"/>
        <v>200</v>
      </c>
      <c r="AE161" s="12" t="str">
        <f t="shared" si="50"/>
        <v>Child</v>
      </c>
      <c r="AF161" s="12">
        <f t="shared" si="51"/>
        <v>200</v>
      </c>
      <c r="AG161" s="12" t="str">
        <f t="shared" si="52"/>
        <v>True</v>
      </c>
      <c r="AH161" s="12">
        <f t="shared" si="53"/>
        <v>200</v>
      </c>
      <c r="AI161" s="12" t="str">
        <f t="shared" si="54"/>
        <v>False</v>
      </c>
    </row>
    <row r="162" spans="1:35" s="133" customFormat="1" ht="15.75" customHeight="1" x14ac:dyDescent="0.25">
      <c r="A162" s="193">
        <v>255</v>
      </c>
      <c r="B162" s="175"/>
      <c r="C162" s="167"/>
      <c r="D162" s="168"/>
      <c r="E162" s="169"/>
      <c r="F162" s="175"/>
      <c r="G162" s="143"/>
      <c r="H162" s="175"/>
      <c r="I162" s="167"/>
      <c r="J162" s="126"/>
      <c r="K162" s="175"/>
      <c r="L162" s="167"/>
      <c r="M162" s="175"/>
      <c r="N162" s="167"/>
      <c r="O162" s="175"/>
      <c r="P162" s="167"/>
      <c r="Q162" s="170">
        <f>IF(COUNTIF($B$8:$B207,$B162)=1,1,0)</f>
        <v>0</v>
      </c>
      <c r="R162" s="171">
        <f>IFERROR((COUNTIF($A:$A,'Client Level Data'!$A162))/COUNTIF($B:$B,$B162),0)</f>
        <v>0</v>
      </c>
      <c r="S162" s="131" t="str">
        <f>IF(SUMIFS($R:$R,$J:$J,"Yes",$B:$B,'Client Level Data'!$B162)&gt;0,"Chronic Flag","")</f>
        <v/>
      </c>
      <c r="T162" s="171" t="str">
        <f>IF(SUMIFS($R:$R,$G:$G,"Yes",$B:$B,'Client Level Data'!$B162)&gt;0,"PY Flag","")</f>
        <v/>
      </c>
      <c r="U162" s="171" t="str">
        <f>IF(SUMIFS($R:$R,$D:$D,"&lt;18",$G:$G,"Yes",$B:$B,'Client Level Data'!$B162)&gt;0,"PY &lt;18",IF(SUMIFS($R:$R,$D:$D,"&gt;17",$D:$D,"&lt;25",$G:$G,"Yes",$B:$B,'Client Level Data'!$B162)&gt;0,"PY &gt;17 &lt;25",""))</f>
        <v/>
      </c>
      <c r="V162" s="172">
        <f>IF('Client Level Data'!$K162="Yes",1,0)+IF('Client Level Data'!$L162="Yes",1,0)+IF('Client Level Data'!$M162="Yes",1,0)</f>
        <v>0</v>
      </c>
      <c r="W162" s="172" t="str">
        <f>IF(SUMIFS($R:$R,$F:$F,"Yes",$B:$B,'Client Level Data'!$B162)&gt;0,"Vet Flag","")</f>
        <v/>
      </c>
      <c r="X162" s="133">
        <f t="shared" si="44"/>
        <v>0</v>
      </c>
      <c r="Y162" s="133" t="e">
        <f t="shared" si="45"/>
        <v>#N/A</v>
      </c>
      <c r="Z162" s="133" t="e">
        <f t="shared" si="46"/>
        <v>#N/A</v>
      </c>
      <c r="AA162" s="133">
        <f t="shared" si="47"/>
        <v>0</v>
      </c>
      <c r="AB162" s="133" t="str">
        <f>IF(SUMIFS($R:$R,$H:$H,"Yes",$B:$B,'Client Level Data'!$B162)&gt;0,"CPY Flag","")</f>
        <v/>
      </c>
      <c r="AC162" s="133" t="str">
        <f t="shared" si="48"/>
        <v>N/A</v>
      </c>
      <c r="AD162" s="133">
        <f t="shared" si="49"/>
        <v>200</v>
      </c>
      <c r="AE162" s="133" t="str">
        <f t="shared" si="50"/>
        <v>Child</v>
      </c>
      <c r="AF162" s="133">
        <f t="shared" si="51"/>
        <v>200</v>
      </c>
      <c r="AG162" s="133" t="str">
        <f t="shared" si="52"/>
        <v>True</v>
      </c>
      <c r="AH162" s="133">
        <f t="shared" si="53"/>
        <v>200</v>
      </c>
      <c r="AI162" s="133" t="str">
        <f t="shared" si="54"/>
        <v>False</v>
      </c>
    </row>
    <row r="163" spans="1:35" ht="15.75" customHeight="1" x14ac:dyDescent="0.25">
      <c r="A163" s="192">
        <v>256</v>
      </c>
      <c r="B163" s="115"/>
      <c r="C163" s="177"/>
      <c r="D163" s="122"/>
      <c r="E163" s="184"/>
      <c r="F163" s="115"/>
      <c r="G163" s="185"/>
      <c r="H163" s="115"/>
      <c r="I163" s="177"/>
      <c r="J163" s="179"/>
      <c r="K163" s="115"/>
      <c r="L163" s="185"/>
      <c r="M163" s="115"/>
      <c r="N163" s="185"/>
      <c r="O163" s="115"/>
      <c r="P163" s="177"/>
      <c r="Q163" s="166">
        <f>IF(COUNTIF($B$8:$B207,$B163)=1,1,0)</f>
        <v>0</v>
      </c>
      <c r="R163" s="165">
        <f>IFERROR((COUNTIF($A:$A,'Client Level Data'!$A163))/COUNTIF($B:$B,$B163),0)</f>
        <v>0</v>
      </c>
      <c r="S163" s="22" t="str">
        <f>IF(SUMIFS($R:$R,$J:$J,"Yes",$B:$B,'Client Level Data'!$B163)&gt;0,"Chronic Flag","")</f>
        <v/>
      </c>
      <c r="T163" s="165" t="str">
        <f>IF(SUMIFS($R:$R,$G:$G,"Yes",$B:$B,'Client Level Data'!$B163)&gt;0,"PY Flag","")</f>
        <v/>
      </c>
      <c r="U163" s="165" t="str">
        <f>IF(SUMIFS($R:$R,$D:$D,"&lt;18",$G:$G,"Yes",$B:$B,'Client Level Data'!$B163)&gt;0,"PY &lt;18",IF(SUMIFS($R:$R,$D:$D,"&gt;17",$D:$D,"&lt;25",$G:$G,"Yes",$B:$B,'Client Level Data'!$B163)&gt;0,"PY &gt;17 &lt;25",""))</f>
        <v/>
      </c>
      <c r="V163" s="1">
        <f>IF('Client Level Data'!$K163="Yes",1,0)+IF('Client Level Data'!$L163="Yes",1,0)+IF('Client Level Data'!$M163="Yes",1,0)</f>
        <v>0</v>
      </c>
      <c r="W163" s="1" t="str">
        <f>IF(SUMIFS($R:$R,$F:$F,"Yes",$B:$B,'Client Level Data'!$B163)&gt;0,"Vet Flag","")</f>
        <v/>
      </c>
      <c r="X163" s="12">
        <f t="shared" si="44"/>
        <v>0</v>
      </c>
      <c r="Y163" s="12" t="e">
        <f t="shared" si="45"/>
        <v>#N/A</v>
      </c>
      <c r="Z163" s="12" t="e">
        <f t="shared" si="46"/>
        <v>#N/A</v>
      </c>
      <c r="AA163" s="12">
        <f t="shared" si="47"/>
        <v>0</v>
      </c>
      <c r="AB163" s="12" t="str">
        <f>IF(SUMIFS($R:$R,$H:$H,"Yes",$B:$B,'Client Level Data'!$B163)&gt;0,"CPY Flag","")</f>
        <v/>
      </c>
      <c r="AC163" s="12" t="str">
        <f t="shared" si="48"/>
        <v>N/A</v>
      </c>
      <c r="AD163" s="12">
        <f t="shared" si="49"/>
        <v>200</v>
      </c>
      <c r="AE163" s="12" t="str">
        <f t="shared" si="50"/>
        <v>Child</v>
      </c>
      <c r="AF163" s="12">
        <f t="shared" si="51"/>
        <v>200</v>
      </c>
      <c r="AG163" s="12" t="str">
        <f t="shared" si="52"/>
        <v>True</v>
      </c>
      <c r="AH163" s="12">
        <f t="shared" si="53"/>
        <v>200</v>
      </c>
      <c r="AI163" s="12" t="str">
        <f t="shared" si="54"/>
        <v>False</v>
      </c>
    </row>
    <row r="164" spans="1:35" s="133" customFormat="1" ht="15.75" customHeight="1" x14ac:dyDescent="0.25">
      <c r="A164" s="193">
        <v>257</v>
      </c>
      <c r="B164" s="175"/>
      <c r="C164" s="167"/>
      <c r="D164" s="168"/>
      <c r="E164" s="169"/>
      <c r="F164" s="175"/>
      <c r="G164" s="143"/>
      <c r="H164" s="175"/>
      <c r="I164" s="167"/>
      <c r="J164" s="126"/>
      <c r="K164" s="175"/>
      <c r="L164" s="167"/>
      <c r="M164" s="175"/>
      <c r="N164" s="167"/>
      <c r="O164" s="175"/>
      <c r="P164" s="167"/>
      <c r="Q164" s="170">
        <f>IF(COUNTIF($B$8:$B207,$B164)=1,1,0)</f>
        <v>0</v>
      </c>
      <c r="R164" s="171">
        <f>IFERROR((COUNTIF($A:$A,'Client Level Data'!$A164))/COUNTIF($B:$B,$B164),0)</f>
        <v>0</v>
      </c>
      <c r="S164" s="131" t="str">
        <f>IF(SUMIFS($R:$R,$J:$J,"Yes",$B:$B,'Client Level Data'!$B164)&gt;0,"Chronic Flag","")</f>
        <v/>
      </c>
      <c r="T164" s="171" t="str">
        <f>IF(SUMIFS($R:$R,$G:$G,"Yes",$B:$B,'Client Level Data'!$B164)&gt;0,"PY Flag","")</f>
        <v/>
      </c>
      <c r="U164" s="171" t="str">
        <f>IF(SUMIFS($R:$R,$D:$D,"&lt;18",$G:$G,"Yes",$B:$B,'Client Level Data'!$B164)&gt;0,"PY &lt;18",IF(SUMIFS($R:$R,$D:$D,"&gt;17",$D:$D,"&lt;25",$G:$G,"Yes",$B:$B,'Client Level Data'!$B164)&gt;0,"PY &gt;17 &lt;25",""))</f>
        <v/>
      </c>
      <c r="V164" s="172">
        <f>IF('Client Level Data'!$K164="Yes",1,0)+IF('Client Level Data'!$L164="Yes",1,0)+IF('Client Level Data'!$M164="Yes",1,0)</f>
        <v>0</v>
      </c>
      <c r="W164" s="172" t="str">
        <f>IF(SUMIFS($R:$R,$F:$F,"Yes",$B:$B,'Client Level Data'!$B164)&gt;0,"Vet Flag","")</f>
        <v/>
      </c>
      <c r="X164" s="133">
        <f t="shared" si="44"/>
        <v>0</v>
      </c>
      <c r="Y164" s="133" t="e">
        <f t="shared" si="45"/>
        <v>#N/A</v>
      </c>
      <c r="Z164" s="133" t="e">
        <f t="shared" si="46"/>
        <v>#N/A</v>
      </c>
      <c r="AA164" s="133">
        <f t="shared" si="47"/>
        <v>0</v>
      </c>
      <c r="AB164" s="133" t="str">
        <f>IF(SUMIFS($R:$R,$H:$H,"Yes",$B:$B,'Client Level Data'!$B164)&gt;0,"CPY Flag","")</f>
        <v/>
      </c>
      <c r="AC164" s="133" t="str">
        <f t="shared" si="48"/>
        <v>N/A</v>
      </c>
      <c r="AD164" s="133">
        <f t="shared" si="49"/>
        <v>200</v>
      </c>
      <c r="AE164" s="133" t="str">
        <f t="shared" si="50"/>
        <v>Child</v>
      </c>
      <c r="AF164" s="133">
        <f t="shared" si="51"/>
        <v>200</v>
      </c>
      <c r="AG164" s="133" t="str">
        <f t="shared" si="52"/>
        <v>True</v>
      </c>
      <c r="AH164" s="133">
        <f t="shared" si="53"/>
        <v>200</v>
      </c>
      <c r="AI164" s="133" t="str">
        <f t="shared" si="54"/>
        <v>False</v>
      </c>
    </row>
    <row r="165" spans="1:35" ht="15.75" customHeight="1" x14ac:dyDescent="0.25">
      <c r="A165" s="192">
        <v>258</v>
      </c>
      <c r="B165" s="115"/>
      <c r="C165" s="177"/>
      <c r="D165" s="122"/>
      <c r="E165" s="184"/>
      <c r="F165" s="115"/>
      <c r="G165" s="185"/>
      <c r="H165" s="115"/>
      <c r="I165" s="177"/>
      <c r="J165" s="179"/>
      <c r="K165" s="115"/>
      <c r="L165" s="185"/>
      <c r="M165" s="115"/>
      <c r="N165" s="185"/>
      <c r="O165" s="115"/>
      <c r="P165" s="177"/>
      <c r="Q165" s="166">
        <f>IF(COUNTIF($B$8:$B207,$B165)=1,1,0)</f>
        <v>0</v>
      </c>
      <c r="R165" s="165">
        <f>IFERROR((COUNTIF($A:$A,'Client Level Data'!$A165))/COUNTIF($B:$B,$B165),0)</f>
        <v>0</v>
      </c>
      <c r="S165" s="22" t="str">
        <f>IF(SUMIFS($R:$R,$J:$J,"Yes",$B:$B,'Client Level Data'!$B165)&gt;0,"Chronic Flag","")</f>
        <v/>
      </c>
      <c r="T165" s="165" t="str">
        <f>IF(SUMIFS($R:$R,$G:$G,"Yes",$B:$B,'Client Level Data'!$B165)&gt;0,"PY Flag","")</f>
        <v/>
      </c>
      <c r="U165" s="165" t="str">
        <f>IF(SUMIFS($R:$R,$D:$D,"&lt;18",$G:$G,"Yes",$B:$B,'Client Level Data'!$B165)&gt;0,"PY &lt;18",IF(SUMIFS($R:$R,$D:$D,"&gt;17",$D:$D,"&lt;25",$G:$G,"Yes",$B:$B,'Client Level Data'!$B165)&gt;0,"PY &gt;17 &lt;25",""))</f>
        <v/>
      </c>
      <c r="V165" s="1">
        <f>IF('Client Level Data'!$K165="Yes",1,0)+IF('Client Level Data'!$L165="Yes",1,0)+IF('Client Level Data'!$M165="Yes",1,0)</f>
        <v>0</v>
      </c>
      <c r="W165" s="1" t="str">
        <f>IF(SUMIFS($R:$R,$F:$F,"Yes",$B:$B,'Client Level Data'!$B165)&gt;0,"Vet Flag","")</f>
        <v/>
      </c>
      <c r="X165" s="12">
        <f t="shared" si="44"/>
        <v>0</v>
      </c>
      <c r="Y165" s="12" t="e">
        <f t="shared" si="45"/>
        <v>#N/A</v>
      </c>
      <c r="Z165" s="12" t="e">
        <f t="shared" si="46"/>
        <v>#N/A</v>
      </c>
      <c r="AA165" s="12">
        <f t="shared" si="47"/>
        <v>0</v>
      </c>
      <c r="AB165" s="12" t="str">
        <f>IF(SUMIFS($R:$R,$H:$H,"Yes",$B:$B,'Client Level Data'!$B165)&gt;0,"CPY Flag","")</f>
        <v/>
      </c>
      <c r="AC165" s="12" t="str">
        <f t="shared" si="48"/>
        <v>N/A</v>
      </c>
      <c r="AD165" s="12">
        <f t="shared" si="49"/>
        <v>200</v>
      </c>
      <c r="AE165" s="12" t="str">
        <f t="shared" si="50"/>
        <v>Child</v>
      </c>
      <c r="AF165" s="12">
        <f t="shared" si="51"/>
        <v>200</v>
      </c>
      <c r="AG165" s="12" t="str">
        <f t="shared" si="52"/>
        <v>True</v>
      </c>
      <c r="AH165" s="12">
        <f t="shared" si="53"/>
        <v>200</v>
      </c>
      <c r="AI165" s="12" t="str">
        <f t="shared" si="54"/>
        <v>False</v>
      </c>
    </row>
    <row r="166" spans="1:35" s="133" customFormat="1" ht="15.75" customHeight="1" x14ac:dyDescent="0.25">
      <c r="A166" s="193">
        <v>259</v>
      </c>
      <c r="B166" s="175"/>
      <c r="C166" s="167"/>
      <c r="D166" s="168"/>
      <c r="E166" s="169"/>
      <c r="F166" s="175"/>
      <c r="G166" s="143"/>
      <c r="H166" s="175"/>
      <c r="I166" s="167"/>
      <c r="J166" s="126"/>
      <c r="K166" s="175"/>
      <c r="L166" s="167"/>
      <c r="M166" s="175"/>
      <c r="N166" s="167"/>
      <c r="O166" s="175"/>
      <c r="P166" s="167"/>
      <c r="Q166" s="170">
        <f>IF(COUNTIF($B$8:$B207,$B166)=1,1,0)</f>
        <v>0</v>
      </c>
      <c r="R166" s="171">
        <f>IFERROR((COUNTIF($A:$A,'Client Level Data'!$A166))/COUNTIF($B:$B,$B166),0)</f>
        <v>0</v>
      </c>
      <c r="S166" s="131" t="str">
        <f>IF(SUMIFS($R:$R,$J:$J,"Yes",$B:$B,'Client Level Data'!$B166)&gt;0,"Chronic Flag","")</f>
        <v/>
      </c>
      <c r="T166" s="171" t="str">
        <f>IF(SUMIFS($R:$R,$G:$G,"Yes",$B:$B,'Client Level Data'!$B166)&gt;0,"PY Flag","")</f>
        <v/>
      </c>
      <c r="U166" s="171" t="str">
        <f>IF(SUMIFS($R:$R,$D:$D,"&lt;18",$G:$G,"Yes",$B:$B,'Client Level Data'!$B166)&gt;0,"PY &lt;18",IF(SUMIFS($R:$R,$D:$D,"&gt;17",$D:$D,"&lt;25",$G:$G,"Yes",$B:$B,'Client Level Data'!$B166)&gt;0,"PY &gt;17 &lt;25",""))</f>
        <v/>
      </c>
      <c r="V166" s="172">
        <f>IF('Client Level Data'!$K166="Yes",1,0)+IF('Client Level Data'!$L166="Yes",1,0)+IF('Client Level Data'!$M166="Yes",1,0)</f>
        <v>0</v>
      </c>
      <c r="W166" s="172" t="str">
        <f>IF(SUMIFS($R:$R,$F:$F,"Yes",$B:$B,'Client Level Data'!$B166)&gt;0,"Vet Flag","")</f>
        <v/>
      </c>
      <c r="X166" s="133">
        <f t="shared" si="44"/>
        <v>0</v>
      </c>
      <c r="Y166" s="133" t="e">
        <f t="shared" si="45"/>
        <v>#N/A</v>
      </c>
      <c r="Z166" s="133" t="e">
        <f t="shared" si="46"/>
        <v>#N/A</v>
      </c>
      <c r="AA166" s="133">
        <f t="shared" si="47"/>
        <v>0</v>
      </c>
      <c r="AB166" s="133" t="str">
        <f>IF(SUMIFS($R:$R,$H:$H,"Yes",$B:$B,'Client Level Data'!$B166)&gt;0,"CPY Flag","")</f>
        <v/>
      </c>
      <c r="AC166" s="133" t="str">
        <f t="shared" si="48"/>
        <v>N/A</v>
      </c>
      <c r="AD166" s="133">
        <f t="shared" si="49"/>
        <v>200</v>
      </c>
      <c r="AE166" s="133" t="str">
        <f t="shared" si="50"/>
        <v>Child</v>
      </c>
      <c r="AF166" s="133">
        <f t="shared" si="51"/>
        <v>200</v>
      </c>
      <c r="AG166" s="133" t="str">
        <f t="shared" si="52"/>
        <v>True</v>
      </c>
      <c r="AH166" s="133">
        <f t="shared" si="53"/>
        <v>200</v>
      </c>
      <c r="AI166" s="133" t="str">
        <f t="shared" si="54"/>
        <v>False</v>
      </c>
    </row>
    <row r="167" spans="1:35" ht="15.75" customHeight="1" x14ac:dyDescent="0.25">
      <c r="A167" s="192">
        <v>260</v>
      </c>
      <c r="B167" s="115"/>
      <c r="C167" s="177"/>
      <c r="D167" s="122"/>
      <c r="E167" s="184"/>
      <c r="F167" s="115"/>
      <c r="G167" s="185"/>
      <c r="H167" s="115"/>
      <c r="I167" s="177"/>
      <c r="J167" s="179"/>
      <c r="K167" s="115"/>
      <c r="L167" s="185"/>
      <c r="M167" s="115"/>
      <c r="N167" s="185"/>
      <c r="O167" s="115"/>
      <c r="P167" s="177"/>
      <c r="Q167" s="166">
        <f>IF(COUNTIF($B$8:$B207,$B167)=1,1,0)</f>
        <v>0</v>
      </c>
      <c r="R167" s="165">
        <f>IFERROR((COUNTIF($A:$A,'Client Level Data'!$A167))/COUNTIF($B:$B,$B167),0)</f>
        <v>0</v>
      </c>
      <c r="S167" s="22" t="str">
        <f>IF(SUMIFS($R:$R,$J:$J,"Yes",$B:$B,'Client Level Data'!$B167)&gt;0,"Chronic Flag","")</f>
        <v/>
      </c>
      <c r="T167" s="165" t="str">
        <f>IF(SUMIFS($R:$R,$G:$G,"Yes",$B:$B,'Client Level Data'!$B167)&gt;0,"PY Flag","")</f>
        <v/>
      </c>
      <c r="U167" s="165" t="str">
        <f>IF(SUMIFS($R:$R,$D:$D,"&lt;18",$G:$G,"Yes",$B:$B,'Client Level Data'!$B167)&gt;0,"PY &lt;18",IF(SUMIFS($R:$R,$D:$D,"&gt;17",$D:$D,"&lt;25",$G:$G,"Yes",$B:$B,'Client Level Data'!$B167)&gt;0,"PY &gt;17 &lt;25",""))</f>
        <v/>
      </c>
      <c r="V167" s="1">
        <f>IF('Client Level Data'!$K167="Yes",1,0)+IF('Client Level Data'!$L167="Yes",1,0)+IF('Client Level Data'!$M167="Yes",1,0)</f>
        <v>0</v>
      </c>
      <c r="W167" s="1" t="str">
        <f>IF(SUMIFS($R:$R,$F:$F,"Yes",$B:$B,'Client Level Data'!$B167)&gt;0,"Vet Flag","")</f>
        <v/>
      </c>
      <c r="X167" s="12">
        <f t="shared" si="44"/>
        <v>0</v>
      </c>
      <c r="Y167" s="12" t="e">
        <f t="shared" si="45"/>
        <v>#N/A</v>
      </c>
      <c r="Z167" s="12" t="e">
        <f t="shared" si="46"/>
        <v>#N/A</v>
      </c>
      <c r="AA167" s="12">
        <f t="shared" si="47"/>
        <v>0</v>
      </c>
      <c r="AB167" s="12" t="str">
        <f>IF(SUMIFS($R:$R,$H:$H,"Yes",$B:$B,'Client Level Data'!$B167)&gt;0,"CPY Flag","")</f>
        <v/>
      </c>
      <c r="AC167" s="12" t="str">
        <f t="shared" si="48"/>
        <v>N/A</v>
      </c>
      <c r="AD167" s="12">
        <f t="shared" si="49"/>
        <v>200</v>
      </c>
      <c r="AE167" s="12" t="str">
        <f t="shared" si="50"/>
        <v>Child</v>
      </c>
      <c r="AF167" s="12">
        <f t="shared" si="51"/>
        <v>200</v>
      </c>
      <c r="AG167" s="12" t="str">
        <f t="shared" si="52"/>
        <v>True</v>
      </c>
      <c r="AH167" s="12">
        <f t="shared" si="53"/>
        <v>200</v>
      </c>
      <c r="AI167" s="12" t="str">
        <f t="shared" si="54"/>
        <v>False</v>
      </c>
    </row>
    <row r="168" spans="1:35" s="133" customFormat="1" ht="15.75" customHeight="1" x14ac:dyDescent="0.25">
      <c r="A168" s="193">
        <v>261</v>
      </c>
      <c r="B168" s="175"/>
      <c r="C168" s="167"/>
      <c r="D168" s="168"/>
      <c r="E168" s="169"/>
      <c r="F168" s="175"/>
      <c r="G168" s="143"/>
      <c r="H168" s="175"/>
      <c r="I168" s="167"/>
      <c r="J168" s="126"/>
      <c r="K168" s="175"/>
      <c r="L168" s="167"/>
      <c r="M168" s="175"/>
      <c r="N168" s="167"/>
      <c r="O168" s="175"/>
      <c r="P168" s="167"/>
      <c r="Q168" s="170">
        <f>IF(COUNTIF($B$8:$B207,$B168)=1,1,0)</f>
        <v>0</v>
      </c>
      <c r="R168" s="171">
        <f>IFERROR((COUNTIF($A:$A,'Client Level Data'!$A168))/COUNTIF($B:$B,$B168),0)</f>
        <v>0</v>
      </c>
      <c r="S168" s="131" t="str">
        <f>IF(SUMIFS($R:$R,$J:$J,"Yes",$B:$B,'Client Level Data'!$B168)&gt;0,"Chronic Flag","")</f>
        <v/>
      </c>
      <c r="T168" s="171" t="str">
        <f>IF(SUMIFS($R:$R,$G:$G,"Yes",$B:$B,'Client Level Data'!$B168)&gt;0,"PY Flag","")</f>
        <v/>
      </c>
      <c r="U168" s="171" t="str">
        <f>IF(SUMIFS($R:$R,$D:$D,"&lt;18",$G:$G,"Yes",$B:$B,'Client Level Data'!$B168)&gt;0,"PY &lt;18",IF(SUMIFS($R:$R,$D:$D,"&gt;17",$D:$D,"&lt;25",$G:$G,"Yes",$B:$B,'Client Level Data'!$B168)&gt;0,"PY &gt;17 &lt;25",""))</f>
        <v/>
      </c>
      <c r="V168" s="172">
        <f>IF('Client Level Data'!$K168="Yes",1,0)+IF('Client Level Data'!$L168="Yes",1,0)+IF('Client Level Data'!$M168="Yes",1,0)</f>
        <v>0</v>
      </c>
      <c r="W168" s="172" t="str">
        <f>IF(SUMIFS($R:$R,$F:$F,"Yes",$B:$B,'Client Level Data'!$B168)&gt;0,"Vet Flag","")</f>
        <v/>
      </c>
      <c r="X168" s="133">
        <f t="shared" ref="X168:X199" si="55">IF(R168&lt;1, B168, "Single")</f>
        <v>0</v>
      </c>
      <c r="Y168" s="133" t="e">
        <f t="shared" ref="Y168:Y199" si="56">IF(X168="Single", "Single", INDEX(C:C, MATCH(X168, B:B, 0)))</f>
        <v>#N/A</v>
      </c>
      <c r="Z168" s="133" t="e">
        <f t="shared" ref="Z168:Z199" si="57">IF(AND(NOT(ISBLANK(C168)), C168=Y168, R168&lt;1), "Yes", IF(Y168="Single", "N/A", "No"))</f>
        <v>#N/A</v>
      </c>
      <c r="AA168" s="133">
        <f t="shared" ref="AA168:AA199" si="58">COUNTIFS(X:X, X168, Z:Z, "No")</f>
        <v>0</v>
      </c>
      <c r="AB168" s="133" t="str">
        <f>IF(SUMIFS($R:$R,$H:$H,"Yes",$B:$B,'Client Level Data'!$B168)&gt;0,"CPY Flag","")</f>
        <v/>
      </c>
      <c r="AC168" s="133" t="str">
        <f t="shared" ref="AC168:AC199" si="59">IF(AND(T168="PY Flag",AB168="CPY Flag"),"Yes",IF(AND(T168="",AB168=""),"N/A","No"))</f>
        <v>N/A</v>
      </c>
      <c r="AD168" s="133">
        <f t="shared" ref="AD168:AD199" si="60">COUNTIFS(X:X, X168)</f>
        <v>200</v>
      </c>
      <c r="AE168" s="133" t="str">
        <f t="shared" ref="AE168:AE199" si="61">IF(D168&lt;18,"Child",IF(AND(D168&gt;=18,D168&lt;25),"Youth","Not Youth"))</f>
        <v>Child</v>
      </c>
      <c r="AF168" s="133">
        <f t="shared" ref="AF168:AF199" si="62">COUNTIFS(X:X, X168, AE:AE, "Youth")+COUNTIFS(X:X, X168, AE:AE, "Child")</f>
        <v>200</v>
      </c>
      <c r="AG168" s="133" t="str">
        <f t="shared" ref="AG168:AG199" si="63">IF(AF168=AD168, "True", "False")</f>
        <v>True</v>
      </c>
      <c r="AH168" s="133">
        <f t="shared" ref="AH168:AH199" si="64">COUNTIFS(X:X, X168, AE:AE, "Child")</f>
        <v>200</v>
      </c>
      <c r="AI168" s="133" t="str">
        <f t="shared" ref="AI168:AI199" si="65">IF(AND(C168="Adults &amp; Children", AH168&gt;0), "True", IF(OR(C168="Children Only", C168="Adults Only"), "N/A", "False"))</f>
        <v>False</v>
      </c>
    </row>
    <row r="169" spans="1:35" ht="15.75" customHeight="1" x14ac:dyDescent="0.25">
      <c r="A169" s="192">
        <v>262</v>
      </c>
      <c r="B169" s="115"/>
      <c r="C169" s="177"/>
      <c r="D169" s="122"/>
      <c r="E169" s="184"/>
      <c r="F169" s="115"/>
      <c r="G169" s="185"/>
      <c r="H169" s="115"/>
      <c r="I169" s="177"/>
      <c r="J169" s="179"/>
      <c r="K169" s="115"/>
      <c r="L169" s="185"/>
      <c r="M169" s="115"/>
      <c r="N169" s="185"/>
      <c r="O169" s="115"/>
      <c r="P169" s="177"/>
      <c r="Q169" s="166">
        <f>IF(COUNTIF($B$8:$B207,$B169)=1,1,0)</f>
        <v>0</v>
      </c>
      <c r="R169" s="165">
        <f>IFERROR((COUNTIF($A:$A,'Client Level Data'!$A169))/COUNTIF($B:$B,$B169),0)</f>
        <v>0</v>
      </c>
      <c r="S169" s="22" t="str">
        <f>IF(SUMIFS($R:$R,$J:$J,"Yes",$B:$B,'Client Level Data'!$B169)&gt;0,"Chronic Flag","")</f>
        <v/>
      </c>
      <c r="T169" s="165" t="str">
        <f>IF(SUMIFS($R:$R,$G:$G,"Yes",$B:$B,'Client Level Data'!$B169)&gt;0,"PY Flag","")</f>
        <v/>
      </c>
      <c r="U169" s="165" t="str">
        <f>IF(SUMIFS($R:$R,$D:$D,"&lt;18",$G:$G,"Yes",$B:$B,'Client Level Data'!$B169)&gt;0,"PY &lt;18",IF(SUMIFS($R:$R,$D:$D,"&gt;17",$D:$D,"&lt;25",$G:$G,"Yes",$B:$B,'Client Level Data'!$B169)&gt;0,"PY &gt;17 &lt;25",""))</f>
        <v/>
      </c>
      <c r="V169" s="1">
        <f>IF('Client Level Data'!$K169="Yes",1,0)+IF('Client Level Data'!$L169="Yes",1,0)+IF('Client Level Data'!$M169="Yes",1,0)</f>
        <v>0</v>
      </c>
      <c r="W169" s="1" t="str">
        <f>IF(SUMIFS($R:$R,$F:$F,"Yes",$B:$B,'Client Level Data'!$B169)&gt;0,"Vet Flag","")</f>
        <v/>
      </c>
      <c r="X169" s="12">
        <f t="shared" si="55"/>
        <v>0</v>
      </c>
      <c r="Y169" s="12" t="e">
        <f t="shared" si="56"/>
        <v>#N/A</v>
      </c>
      <c r="Z169" s="12" t="e">
        <f t="shared" si="57"/>
        <v>#N/A</v>
      </c>
      <c r="AA169" s="12">
        <f t="shared" si="58"/>
        <v>0</v>
      </c>
      <c r="AB169" s="12" t="str">
        <f>IF(SUMIFS($R:$R,$H:$H,"Yes",$B:$B,'Client Level Data'!$B169)&gt;0,"CPY Flag","")</f>
        <v/>
      </c>
      <c r="AC169" s="12" t="str">
        <f t="shared" si="59"/>
        <v>N/A</v>
      </c>
      <c r="AD169" s="12">
        <f t="shared" si="60"/>
        <v>200</v>
      </c>
      <c r="AE169" s="12" t="str">
        <f t="shared" si="61"/>
        <v>Child</v>
      </c>
      <c r="AF169" s="12">
        <f t="shared" si="62"/>
        <v>200</v>
      </c>
      <c r="AG169" s="12" t="str">
        <f t="shared" si="63"/>
        <v>True</v>
      </c>
      <c r="AH169" s="12">
        <f t="shared" si="64"/>
        <v>200</v>
      </c>
      <c r="AI169" s="12" t="str">
        <f t="shared" si="65"/>
        <v>False</v>
      </c>
    </row>
    <row r="170" spans="1:35" s="133" customFormat="1" ht="15.75" customHeight="1" x14ac:dyDescent="0.25">
      <c r="A170" s="193">
        <v>263</v>
      </c>
      <c r="B170" s="175"/>
      <c r="C170" s="167"/>
      <c r="D170" s="168"/>
      <c r="E170" s="169"/>
      <c r="F170" s="175"/>
      <c r="G170" s="143"/>
      <c r="H170" s="175"/>
      <c r="I170" s="167"/>
      <c r="J170" s="126"/>
      <c r="K170" s="175"/>
      <c r="L170" s="167"/>
      <c r="M170" s="175"/>
      <c r="N170" s="167"/>
      <c r="O170" s="175"/>
      <c r="P170" s="167"/>
      <c r="Q170" s="170">
        <f>IF(COUNTIF($B$8:$B207,$B170)=1,1,0)</f>
        <v>0</v>
      </c>
      <c r="R170" s="171">
        <f>IFERROR((COUNTIF($A:$A,'Client Level Data'!$A170))/COUNTIF($B:$B,$B170),0)</f>
        <v>0</v>
      </c>
      <c r="S170" s="131" t="str">
        <f>IF(SUMIFS($R:$R,$J:$J,"Yes",$B:$B,'Client Level Data'!$B170)&gt;0,"Chronic Flag","")</f>
        <v/>
      </c>
      <c r="T170" s="171" t="str">
        <f>IF(SUMIFS($R:$R,$G:$G,"Yes",$B:$B,'Client Level Data'!$B170)&gt;0,"PY Flag","")</f>
        <v/>
      </c>
      <c r="U170" s="171" t="str">
        <f>IF(SUMIFS($R:$R,$D:$D,"&lt;18",$G:$G,"Yes",$B:$B,'Client Level Data'!$B170)&gt;0,"PY &lt;18",IF(SUMIFS($R:$R,$D:$D,"&gt;17",$D:$D,"&lt;25",$G:$G,"Yes",$B:$B,'Client Level Data'!$B170)&gt;0,"PY &gt;17 &lt;25",""))</f>
        <v/>
      </c>
      <c r="V170" s="172">
        <f>IF('Client Level Data'!$K170="Yes",1,0)+IF('Client Level Data'!$L170="Yes",1,0)+IF('Client Level Data'!$M170="Yes",1,0)</f>
        <v>0</v>
      </c>
      <c r="W170" s="172" t="str">
        <f>IF(SUMIFS($R:$R,$F:$F,"Yes",$B:$B,'Client Level Data'!$B170)&gt;0,"Vet Flag","")</f>
        <v/>
      </c>
      <c r="X170" s="133">
        <f t="shared" si="55"/>
        <v>0</v>
      </c>
      <c r="Y170" s="133" t="e">
        <f t="shared" si="56"/>
        <v>#N/A</v>
      </c>
      <c r="Z170" s="133" t="e">
        <f t="shared" si="57"/>
        <v>#N/A</v>
      </c>
      <c r="AA170" s="133">
        <f t="shared" si="58"/>
        <v>0</v>
      </c>
      <c r="AB170" s="133" t="str">
        <f>IF(SUMIFS($R:$R,$H:$H,"Yes",$B:$B,'Client Level Data'!$B170)&gt;0,"CPY Flag","")</f>
        <v/>
      </c>
      <c r="AC170" s="133" t="str">
        <f t="shared" si="59"/>
        <v>N/A</v>
      </c>
      <c r="AD170" s="133">
        <f t="shared" si="60"/>
        <v>200</v>
      </c>
      <c r="AE170" s="133" t="str">
        <f t="shared" si="61"/>
        <v>Child</v>
      </c>
      <c r="AF170" s="133">
        <f t="shared" si="62"/>
        <v>200</v>
      </c>
      <c r="AG170" s="133" t="str">
        <f t="shared" si="63"/>
        <v>True</v>
      </c>
      <c r="AH170" s="133">
        <f t="shared" si="64"/>
        <v>200</v>
      </c>
      <c r="AI170" s="133" t="str">
        <f t="shared" si="65"/>
        <v>False</v>
      </c>
    </row>
    <row r="171" spans="1:35" ht="15.75" customHeight="1" x14ac:dyDescent="0.25">
      <c r="A171" s="192">
        <v>264</v>
      </c>
      <c r="B171" s="115"/>
      <c r="C171" s="177"/>
      <c r="D171" s="122"/>
      <c r="E171" s="184"/>
      <c r="F171" s="115"/>
      <c r="G171" s="185"/>
      <c r="H171" s="115"/>
      <c r="I171" s="177"/>
      <c r="J171" s="179"/>
      <c r="K171" s="115"/>
      <c r="L171" s="185"/>
      <c r="M171" s="115"/>
      <c r="N171" s="185"/>
      <c r="O171" s="115"/>
      <c r="P171" s="177"/>
      <c r="Q171" s="166">
        <f>IF(COUNTIF($B$8:$B207,$B171)=1,1,0)</f>
        <v>0</v>
      </c>
      <c r="R171" s="165">
        <f>IFERROR((COUNTIF($A:$A,'Client Level Data'!$A171))/COUNTIF($B:$B,$B171),0)</f>
        <v>0</v>
      </c>
      <c r="S171" s="22" t="str">
        <f>IF(SUMIFS($R:$R,$J:$J,"Yes",$B:$B,'Client Level Data'!$B171)&gt;0,"Chronic Flag","")</f>
        <v/>
      </c>
      <c r="T171" s="165" t="str">
        <f>IF(SUMIFS($R:$R,$G:$G,"Yes",$B:$B,'Client Level Data'!$B171)&gt;0,"PY Flag","")</f>
        <v/>
      </c>
      <c r="U171" s="165" t="str">
        <f>IF(SUMIFS($R:$R,$D:$D,"&lt;18",$G:$G,"Yes",$B:$B,'Client Level Data'!$B171)&gt;0,"PY &lt;18",IF(SUMIFS($R:$R,$D:$D,"&gt;17",$D:$D,"&lt;25",$G:$G,"Yes",$B:$B,'Client Level Data'!$B171)&gt;0,"PY &gt;17 &lt;25",""))</f>
        <v/>
      </c>
      <c r="V171" s="1">
        <f>IF('Client Level Data'!$K171="Yes",1,0)+IF('Client Level Data'!$L171="Yes",1,0)+IF('Client Level Data'!$M171="Yes",1,0)</f>
        <v>0</v>
      </c>
      <c r="W171" s="1" t="str">
        <f>IF(SUMIFS($R:$R,$F:$F,"Yes",$B:$B,'Client Level Data'!$B171)&gt;0,"Vet Flag","")</f>
        <v/>
      </c>
      <c r="X171" s="12">
        <f t="shared" si="55"/>
        <v>0</v>
      </c>
      <c r="Y171" s="12" t="e">
        <f t="shared" si="56"/>
        <v>#N/A</v>
      </c>
      <c r="Z171" s="12" t="e">
        <f t="shared" si="57"/>
        <v>#N/A</v>
      </c>
      <c r="AA171" s="12">
        <f t="shared" si="58"/>
        <v>0</v>
      </c>
      <c r="AB171" s="12" t="str">
        <f>IF(SUMIFS($R:$R,$H:$H,"Yes",$B:$B,'Client Level Data'!$B171)&gt;0,"CPY Flag","")</f>
        <v/>
      </c>
      <c r="AC171" s="12" t="str">
        <f t="shared" si="59"/>
        <v>N/A</v>
      </c>
      <c r="AD171" s="12">
        <f t="shared" si="60"/>
        <v>200</v>
      </c>
      <c r="AE171" s="12" t="str">
        <f t="shared" si="61"/>
        <v>Child</v>
      </c>
      <c r="AF171" s="12">
        <f t="shared" si="62"/>
        <v>200</v>
      </c>
      <c r="AG171" s="12" t="str">
        <f t="shared" si="63"/>
        <v>True</v>
      </c>
      <c r="AH171" s="12">
        <f t="shared" si="64"/>
        <v>200</v>
      </c>
      <c r="AI171" s="12" t="str">
        <f t="shared" si="65"/>
        <v>False</v>
      </c>
    </row>
    <row r="172" spans="1:35" s="133" customFormat="1" ht="15.75" customHeight="1" x14ac:dyDescent="0.25">
      <c r="A172" s="193">
        <v>265</v>
      </c>
      <c r="B172" s="175"/>
      <c r="C172" s="167"/>
      <c r="D172" s="168"/>
      <c r="E172" s="169"/>
      <c r="F172" s="175"/>
      <c r="G172" s="143"/>
      <c r="H172" s="175"/>
      <c r="I172" s="167"/>
      <c r="J172" s="126"/>
      <c r="K172" s="175"/>
      <c r="L172" s="167"/>
      <c r="M172" s="175"/>
      <c r="N172" s="167"/>
      <c r="O172" s="175"/>
      <c r="P172" s="167"/>
      <c r="Q172" s="170">
        <f>IF(COUNTIF($B$8:$B207,$B172)=1,1,0)</f>
        <v>0</v>
      </c>
      <c r="R172" s="171">
        <f>IFERROR((COUNTIF($A:$A,'Client Level Data'!$A172))/COUNTIF($B:$B,$B172),0)</f>
        <v>0</v>
      </c>
      <c r="S172" s="131" t="str">
        <f>IF(SUMIFS($R:$R,$J:$J,"Yes",$B:$B,'Client Level Data'!$B172)&gt;0,"Chronic Flag","")</f>
        <v/>
      </c>
      <c r="T172" s="171" t="str">
        <f>IF(SUMIFS($R:$R,$G:$G,"Yes",$B:$B,'Client Level Data'!$B172)&gt;0,"PY Flag","")</f>
        <v/>
      </c>
      <c r="U172" s="171" t="str">
        <f>IF(SUMIFS($R:$R,$D:$D,"&lt;18",$G:$G,"Yes",$B:$B,'Client Level Data'!$B172)&gt;0,"PY &lt;18",IF(SUMIFS($R:$R,$D:$D,"&gt;17",$D:$D,"&lt;25",$G:$G,"Yes",$B:$B,'Client Level Data'!$B172)&gt;0,"PY &gt;17 &lt;25",""))</f>
        <v/>
      </c>
      <c r="V172" s="172">
        <f>IF('Client Level Data'!$K172="Yes",1,0)+IF('Client Level Data'!$L172="Yes",1,0)+IF('Client Level Data'!$M172="Yes",1,0)</f>
        <v>0</v>
      </c>
      <c r="W172" s="172" t="str">
        <f>IF(SUMIFS($R:$R,$F:$F,"Yes",$B:$B,'Client Level Data'!$B172)&gt;0,"Vet Flag","")</f>
        <v/>
      </c>
      <c r="X172" s="133">
        <f t="shared" si="55"/>
        <v>0</v>
      </c>
      <c r="Y172" s="133" t="e">
        <f t="shared" si="56"/>
        <v>#N/A</v>
      </c>
      <c r="Z172" s="133" t="e">
        <f t="shared" si="57"/>
        <v>#N/A</v>
      </c>
      <c r="AA172" s="133">
        <f t="shared" si="58"/>
        <v>0</v>
      </c>
      <c r="AB172" s="133" t="str">
        <f>IF(SUMIFS($R:$R,$H:$H,"Yes",$B:$B,'Client Level Data'!$B172)&gt;0,"CPY Flag","")</f>
        <v/>
      </c>
      <c r="AC172" s="133" t="str">
        <f t="shared" si="59"/>
        <v>N/A</v>
      </c>
      <c r="AD172" s="133">
        <f t="shared" si="60"/>
        <v>200</v>
      </c>
      <c r="AE172" s="133" t="str">
        <f t="shared" si="61"/>
        <v>Child</v>
      </c>
      <c r="AF172" s="133">
        <f t="shared" si="62"/>
        <v>200</v>
      </c>
      <c r="AG172" s="133" t="str">
        <f t="shared" si="63"/>
        <v>True</v>
      </c>
      <c r="AH172" s="133">
        <f t="shared" si="64"/>
        <v>200</v>
      </c>
      <c r="AI172" s="133" t="str">
        <f t="shared" si="65"/>
        <v>False</v>
      </c>
    </row>
    <row r="173" spans="1:35" ht="15.75" customHeight="1" x14ac:dyDescent="0.25">
      <c r="A173" s="192">
        <v>266</v>
      </c>
      <c r="B173" s="115"/>
      <c r="C173" s="177"/>
      <c r="D173" s="122"/>
      <c r="E173" s="184"/>
      <c r="F173" s="115"/>
      <c r="G173" s="185"/>
      <c r="H173" s="115"/>
      <c r="I173" s="177"/>
      <c r="J173" s="179"/>
      <c r="K173" s="115"/>
      <c r="L173" s="185"/>
      <c r="M173" s="115"/>
      <c r="N173" s="185"/>
      <c r="O173" s="115"/>
      <c r="P173" s="177"/>
      <c r="Q173" s="166">
        <f>IF(COUNTIF($B$8:$B207,$B173)=1,1,0)</f>
        <v>0</v>
      </c>
      <c r="R173" s="165">
        <f>IFERROR((COUNTIF($A:$A,'Client Level Data'!$A173))/COUNTIF($B:$B,$B173),0)</f>
        <v>0</v>
      </c>
      <c r="S173" s="22" t="str">
        <f>IF(SUMIFS($R:$R,$J:$J,"Yes",$B:$B,'Client Level Data'!$B173)&gt;0,"Chronic Flag","")</f>
        <v/>
      </c>
      <c r="T173" s="165" t="str">
        <f>IF(SUMIFS($R:$R,$G:$G,"Yes",$B:$B,'Client Level Data'!$B173)&gt;0,"PY Flag","")</f>
        <v/>
      </c>
      <c r="U173" s="165" t="str">
        <f>IF(SUMIFS($R:$R,$D:$D,"&lt;18",$G:$G,"Yes",$B:$B,'Client Level Data'!$B173)&gt;0,"PY &lt;18",IF(SUMIFS($R:$R,$D:$D,"&gt;17",$D:$D,"&lt;25",$G:$G,"Yes",$B:$B,'Client Level Data'!$B173)&gt;0,"PY &gt;17 &lt;25",""))</f>
        <v/>
      </c>
      <c r="V173" s="1">
        <f>IF('Client Level Data'!$K173="Yes",1,0)+IF('Client Level Data'!$L173="Yes",1,0)+IF('Client Level Data'!$M173="Yes",1,0)</f>
        <v>0</v>
      </c>
      <c r="W173" s="1" t="str">
        <f>IF(SUMIFS($R:$R,$F:$F,"Yes",$B:$B,'Client Level Data'!$B173)&gt;0,"Vet Flag","")</f>
        <v/>
      </c>
      <c r="X173" s="12">
        <f t="shared" si="55"/>
        <v>0</v>
      </c>
      <c r="Y173" s="12" t="e">
        <f t="shared" si="56"/>
        <v>#N/A</v>
      </c>
      <c r="Z173" s="12" t="e">
        <f t="shared" si="57"/>
        <v>#N/A</v>
      </c>
      <c r="AA173" s="12">
        <f t="shared" si="58"/>
        <v>0</v>
      </c>
      <c r="AB173" s="12" t="str">
        <f>IF(SUMIFS($R:$R,$H:$H,"Yes",$B:$B,'Client Level Data'!$B173)&gt;0,"CPY Flag","")</f>
        <v/>
      </c>
      <c r="AC173" s="12" t="str">
        <f t="shared" si="59"/>
        <v>N/A</v>
      </c>
      <c r="AD173" s="12">
        <f t="shared" si="60"/>
        <v>200</v>
      </c>
      <c r="AE173" s="12" t="str">
        <f t="shared" si="61"/>
        <v>Child</v>
      </c>
      <c r="AF173" s="12">
        <f t="shared" si="62"/>
        <v>200</v>
      </c>
      <c r="AG173" s="12" t="str">
        <f t="shared" si="63"/>
        <v>True</v>
      </c>
      <c r="AH173" s="12">
        <f t="shared" si="64"/>
        <v>200</v>
      </c>
      <c r="AI173" s="12" t="str">
        <f t="shared" si="65"/>
        <v>False</v>
      </c>
    </row>
    <row r="174" spans="1:35" s="133" customFormat="1" ht="15.75" customHeight="1" x14ac:dyDescent="0.25">
      <c r="A174" s="193">
        <v>267</v>
      </c>
      <c r="B174" s="175"/>
      <c r="C174" s="167"/>
      <c r="D174" s="168"/>
      <c r="E174" s="169"/>
      <c r="F174" s="175"/>
      <c r="G174" s="143"/>
      <c r="H174" s="175"/>
      <c r="I174" s="167"/>
      <c r="J174" s="126"/>
      <c r="K174" s="175"/>
      <c r="L174" s="167"/>
      <c r="M174" s="175"/>
      <c r="N174" s="167"/>
      <c r="O174" s="175"/>
      <c r="P174" s="167"/>
      <c r="Q174" s="170">
        <f>IF(COUNTIF($B$8:$B207,$B174)=1,1,0)</f>
        <v>0</v>
      </c>
      <c r="R174" s="171">
        <f>IFERROR((COUNTIF($A:$A,'Client Level Data'!$A174))/COUNTIF($B:$B,$B174),0)</f>
        <v>0</v>
      </c>
      <c r="S174" s="131" t="str">
        <f>IF(SUMIFS($R:$R,$J:$J,"Yes",$B:$B,'Client Level Data'!$B174)&gt;0,"Chronic Flag","")</f>
        <v/>
      </c>
      <c r="T174" s="171" t="str">
        <f>IF(SUMIFS($R:$R,$G:$G,"Yes",$B:$B,'Client Level Data'!$B174)&gt;0,"PY Flag","")</f>
        <v/>
      </c>
      <c r="U174" s="171" t="str">
        <f>IF(SUMIFS($R:$R,$D:$D,"&lt;18",$G:$G,"Yes",$B:$B,'Client Level Data'!$B174)&gt;0,"PY &lt;18",IF(SUMIFS($R:$R,$D:$D,"&gt;17",$D:$D,"&lt;25",$G:$G,"Yes",$B:$B,'Client Level Data'!$B174)&gt;0,"PY &gt;17 &lt;25",""))</f>
        <v/>
      </c>
      <c r="V174" s="172">
        <f>IF('Client Level Data'!$K174="Yes",1,0)+IF('Client Level Data'!$L174="Yes",1,0)+IF('Client Level Data'!$M174="Yes",1,0)</f>
        <v>0</v>
      </c>
      <c r="W174" s="172" t="str">
        <f>IF(SUMIFS($R:$R,$F:$F,"Yes",$B:$B,'Client Level Data'!$B174)&gt;0,"Vet Flag","")</f>
        <v/>
      </c>
      <c r="X174" s="133">
        <f t="shared" si="55"/>
        <v>0</v>
      </c>
      <c r="Y174" s="133" t="e">
        <f t="shared" si="56"/>
        <v>#N/A</v>
      </c>
      <c r="Z174" s="133" t="e">
        <f t="shared" si="57"/>
        <v>#N/A</v>
      </c>
      <c r="AA174" s="133">
        <f t="shared" si="58"/>
        <v>0</v>
      </c>
      <c r="AB174" s="133" t="str">
        <f>IF(SUMIFS($R:$R,$H:$H,"Yes",$B:$B,'Client Level Data'!$B174)&gt;0,"CPY Flag","")</f>
        <v/>
      </c>
      <c r="AC174" s="133" t="str">
        <f t="shared" si="59"/>
        <v>N/A</v>
      </c>
      <c r="AD174" s="133">
        <f t="shared" si="60"/>
        <v>200</v>
      </c>
      <c r="AE174" s="133" t="str">
        <f t="shared" si="61"/>
        <v>Child</v>
      </c>
      <c r="AF174" s="133">
        <f t="shared" si="62"/>
        <v>200</v>
      </c>
      <c r="AG174" s="133" t="str">
        <f t="shared" si="63"/>
        <v>True</v>
      </c>
      <c r="AH174" s="133">
        <f t="shared" si="64"/>
        <v>200</v>
      </c>
      <c r="AI174" s="133" t="str">
        <f t="shared" si="65"/>
        <v>False</v>
      </c>
    </row>
    <row r="175" spans="1:35" ht="15.75" customHeight="1" x14ac:dyDescent="0.25">
      <c r="A175" s="192">
        <v>268</v>
      </c>
      <c r="B175" s="115"/>
      <c r="C175" s="177"/>
      <c r="D175" s="122"/>
      <c r="E175" s="184"/>
      <c r="F175" s="115"/>
      <c r="G175" s="185"/>
      <c r="H175" s="115"/>
      <c r="I175" s="177"/>
      <c r="J175" s="179"/>
      <c r="K175" s="115"/>
      <c r="L175" s="185"/>
      <c r="M175" s="115"/>
      <c r="N175" s="185"/>
      <c r="O175" s="115"/>
      <c r="P175" s="177"/>
      <c r="Q175" s="166">
        <f>IF(COUNTIF($B$8:$B207,$B175)=1,1,0)</f>
        <v>0</v>
      </c>
      <c r="R175" s="165">
        <f>IFERROR((COUNTIF($A:$A,'Client Level Data'!$A175))/COUNTIF($B:$B,$B175),0)</f>
        <v>0</v>
      </c>
      <c r="S175" s="22" t="str">
        <f>IF(SUMIFS($R:$R,$J:$J,"Yes",$B:$B,'Client Level Data'!$B175)&gt;0,"Chronic Flag","")</f>
        <v/>
      </c>
      <c r="T175" s="165" t="str">
        <f>IF(SUMIFS($R:$R,$G:$G,"Yes",$B:$B,'Client Level Data'!$B175)&gt;0,"PY Flag","")</f>
        <v/>
      </c>
      <c r="U175" s="165" t="str">
        <f>IF(SUMIFS($R:$R,$D:$D,"&lt;18",$G:$G,"Yes",$B:$B,'Client Level Data'!$B175)&gt;0,"PY &lt;18",IF(SUMIFS($R:$R,$D:$D,"&gt;17",$D:$D,"&lt;25",$G:$G,"Yes",$B:$B,'Client Level Data'!$B175)&gt;0,"PY &gt;17 &lt;25",""))</f>
        <v/>
      </c>
      <c r="V175" s="1">
        <f>IF('Client Level Data'!$K175="Yes",1,0)+IF('Client Level Data'!$L175="Yes",1,0)+IF('Client Level Data'!$M175="Yes",1,0)</f>
        <v>0</v>
      </c>
      <c r="W175" s="1" t="str">
        <f>IF(SUMIFS($R:$R,$F:$F,"Yes",$B:$B,'Client Level Data'!$B175)&gt;0,"Vet Flag","")</f>
        <v/>
      </c>
      <c r="X175" s="12">
        <f t="shared" si="55"/>
        <v>0</v>
      </c>
      <c r="Y175" s="12" t="e">
        <f t="shared" si="56"/>
        <v>#N/A</v>
      </c>
      <c r="Z175" s="12" t="e">
        <f t="shared" si="57"/>
        <v>#N/A</v>
      </c>
      <c r="AA175" s="12">
        <f t="shared" si="58"/>
        <v>0</v>
      </c>
      <c r="AB175" s="12" t="str">
        <f>IF(SUMIFS($R:$R,$H:$H,"Yes",$B:$B,'Client Level Data'!$B175)&gt;0,"CPY Flag","")</f>
        <v/>
      </c>
      <c r="AC175" s="12" t="str">
        <f t="shared" si="59"/>
        <v>N/A</v>
      </c>
      <c r="AD175" s="12">
        <f t="shared" si="60"/>
        <v>200</v>
      </c>
      <c r="AE175" s="12" t="str">
        <f t="shared" si="61"/>
        <v>Child</v>
      </c>
      <c r="AF175" s="12">
        <f t="shared" si="62"/>
        <v>200</v>
      </c>
      <c r="AG175" s="12" t="str">
        <f t="shared" si="63"/>
        <v>True</v>
      </c>
      <c r="AH175" s="12">
        <f t="shared" si="64"/>
        <v>200</v>
      </c>
      <c r="AI175" s="12" t="str">
        <f t="shared" si="65"/>
        <v>False</v>
      </c>
    </row>
    <row r="176" spans="1:35" s="133" customFormat="1" ht="15.75" customHeight="1" x14ac:dyDescent="0.25">
      <c r="A176" s="193">
        <v>269</v>
      </c>
      <c r="B176" s="175"/>
      <c r="C176" s="167"/>
      <c r="D176" s="168"/>
      <c r="E176" s="169"/>
      <c r="F176" s="175"/>
      <c r="G176" s="143"/>
      <c r="H176" s="175"/>
      <c r="I176" s="167"/>
      <c r="J176" s="126"/>
      <c r="K176" s="175"/>
      <c r="L176" s="167"/>
      <c r="M176" s="175"/>
      <c r="N176" s="167"/>
      <c r="O176" s="175"/>
      <c r="P176" s="167"/>
      <c r="Q176" s="170">
        <f>IF(COUNTIF($B$8:$B207,$B176)=1,1,0)</f>
        <v>0</v>
      </c>
      <c r="R176" s="171">
        <f>IFERROR((COUNTIF($A:$A,'Client Level Data'!$A176))/COUNTIF($B:$B,$B176),0)</f>
        <v>0</v>
      </c>
      <c r="S176" s="131" t="str">
        <f>IF(SUMIFS($R:$R,$J:$J,"Yes",$B:$B,'Client Level Data'!$B176)&gt;0,"Chronic Flag","")</f>
        <v/>
      </c>
      <c r="T176" s="171" t="str">
        <f>IF(SUMIFS($R:$R,$G:$G,"Yes",$B:$B,'Client Level Data'!$B176)&gt;0,"PY Flag","")</f>
        <v/>
      </c>
      <c r="U176" s="171" t="str">
        <f>IF(SUMIFS($R:$R,$D:$D,"&lt;18",$G:$G,"Yes",$B:$B,'Client Level Data'!$B176)&gt;0,"PY &lt;18",IF(SUMIFS($R:$R,$D:$D,"&gt;17",$D:$D,"&lt;25",$G:$G,"Yes",$B:$B,'Client Level Data'!$B176)&gt;0,"PY &gt;17 &lt;25",""))</f>
        <v/>
      </c>
      <c r="V176" s="172">
        <f>IF('Client Level Data'!$K176="Yes",1,0)+IF('Client Level Data'!$L176="Yes",1,0)+IF('Client Level Data'!$M176="Yes",1,0)</f>
        <v>0</v>
      </c>
      <c r="W176" s="172" t="str">
        <f>IF(SUMIFS($R:$R,$F:$F,"Yes",$B:$B,'Client Level Data'!$B176)&gt;0,"Vet Flag","")</f>
        <v/>
      </c>
      <c r="X176" s="133">
        <f t="shared" si="55"/>
        <v>0</v>
      </c>
      <c r="Y176" s="133" t="e">
        <f t="shared" si="56"/>
        <v>#N/A</v>
      </c>
      <c r="Z176" s="133" t="e">
        <f t="shared" si="57"/>
        <v>#N/A</v>
      </c>
      <c r="AA176" s="133">
        <f t="shared" si="58"/>
        <v>0</v>
      </c>
      <c r="AB176" s="133" t="str">
        <f>IF(SUMIFS($R:$R,$H:$H,"Yes",$B:$B,'Client Level Data'!$B176)&gt;0,"CPY Flag","")</f>
        <v/>
      </c>
      <c r="AC176" s="133" t="str">
        <f t="shared" si="59"/>
        <v>N/A</v>
      </c>
      <c r="AD176" s="133">
        <f t="shared" si="60"/>
        <v>200</v>
      </c>
      <c r="AE176" s="133" t="str">
        <f t="shared" si="61"/>
        <v>Child</v>
      </c>
      <c r="AF176" s="133">
        <f t="shared" si="62"/>
        <v>200</v>
      </c>
      <c r="AG176" s="133" t="str">
        <f t="shared" si="63"/>
        <v>True</v>
      </c>
      <c r="AH176" s="133">
        <f t="shared" si="64"/>
        <v>200</v>
      </c>
      <c r="AI176" s="133" t="str">
        <f t="shared" si="65"/>
        <v>False</v>
      </c>
    </row>
    <row r="177" spans="1:35" ht="15.75" customHeight="1" x14ac:dyDescent="0.25">
      <c r="A177" s="192">
        <v>270</v>
      </c>
      <c r="B177" s="115"/>
      <c r="C177" s="177"/>
      <c r="D177" s="122"/>
      <c r="E177" s="184"/>
      <c r="F177" s="115"/>
      <c r="G177" s="185"/>
      <c r="H177" s="115"/>
      <c r="I177" s="177"/>
      <c r="J177" s="179"/>
      <c r="K177" s="115"/>
      <c r="L177" s="185"/>
      <c r="M177" s="115"/>
      <c r="N177" s="185"/>
      <c r="O177" s="115"/>
      <c r="P177" s="177"/>
      <c r="Q177" s="166">
        <f>IF(COUNTIF($B$8:$B207,$B177)=1,1,0)</f>
        <v>0</v>
      </c>
      <c r="R177" s="165">
        <f>IFERROR((COUNTIF($A:$A,'Client Level Data'!$A177))/COUNTIF($B:$B,$B177),0)</f>
        <v>0</v>
      </c>
      <c r="S177" s="22" t="str">
        <f>IF(SUMIFS($R:$R,$J:$J,"Yes",$B:$B,'Client Level Data'!$B177)&gt;0,"Chronic Flag","")</f>
        <v/>
      </c>
      <c r="T177" s="165" t="str">
        <f>IF(SUMIFS($R:$R,$G:$G,"Yes",$B:$B,'Client Level Data'!$B177)&gt;0,"PY Flag","")</f>
        <v/>
      </c>
      <c r="U177" s="165" t="str">
        <f>IF(SUMIFS($R:$R,$D:$D,"&lt;18",$G:$G,"Yes",$B:$B,'Client Level Data'!$B177)&gt;0,"PY &lt;18",IF(SUMIFS($R:$R,$D:$D,"&gt;17",$D:$D,"&lt;25",$G:$G,"Yes",$B:$B,'Client Level Data'!$B177)&gt;0,"PY &gt;17 &lt;25",""))</f>
        <v/>
      </c>
      <c r="V177" s="1">
        <f>IF('Client Level Data'!$K177="Yes",1,0)+IF('Client Level Data'!$L177="Yes",1,0)+IF('Client Level Data'!$M177="Yes",1,0)</f>
        <v>0</v>
      </c>
      <c r="W177" s="1" t="str">
        <f>IF(SUMIFS($R:$R,$F:$F,"Yes",$B:$B,'Client Level Data'!$B177)&gt;0,"Vet Flag","")</f>
        <v/>
      </c>
      <c r="X177" s="12">
        <f t="shared" si="55"/>
        <v>0</v>
      </c>
      <c r="Y177" s="12" t="e">
        <f t="shared" si="56"/>
        <v>#N/A</v>
      </c>
      <c r="Z177" s="12" t="e">
        <f t="shared" si="57"/>
        <v>#N/A</v>
      </c>
      <c r="AA177" s="12">
        <f t="shared" si="58"/>
        <v>0</v>
      </c>
      <c r="AB177" s="12" t="str">
        <f>IF(SUMIFS($R:$R,$H:$H,"Yes",$B:$B,'Client Level Data'!$B177)&gt;0,"CPY Flag","")</f>
        <v/>
      </c>
      <c r="AC177" s="12" t="str">
        <f t="shared" si="59"/>
        <v>N/A</v>
      </c>
      <c r="AD177" s="12">
        <f t="shared" si="60"/>
        <v>200</v>
      </c>
      <c r="AE177" s="12" t="str">
        <f t="shared" si="61"/>
        <v>Child</v>
      </c>
      <c r="AF177" s="12">
        <f t="shared" si="62"/>
        <v>200</v>
      </c>
      <c r="AG177" s="12" t="str">
        <f t="shared" si="63"/>
        <v>True</v>
      </c>
      <c r="AH177" s="12">
        <f t="shared" si="64"/>
        <v>200</v>
      </c>
      <c r="AI177" s="12" t="str">
        <f t="shared" si="65"/>
        <v>False</v>
      </c>
    </row>
    <row r="178" spans="1:35" s="133" customFormat="1" ht="15.75" customHeight="1" x14ac:dyDescent="0.25">
      <c r="A178" s="193">
        <v>271</v>
      </c>
      <c r="B178" s="175"/>
      <c r="C178" s="167"/>
      <c r="D178" s="168"/>
      <c r="E178" s="169"/>
      <c r="F178" s="175"/>
      <c r="G178" s="143"/>
      <c r="H178" s="175"/>
      <c r="I178" s="167"/>
      <c r="J178" s="126"/>
      <c r="K178" s="175"/>
      <c r="L178" s="167"/>
      <c r="M178" s="175"/>
      <c r="N178" s="167"/>
      <c r="O178" s="175"/>
      <c r="P178" s="167"/>
      <c r="Q178" s="170">
        <f>IF(COUNTIF($B$8:$B207,$B178)=1,1,0)</f>
        <v>0</v>
      </c>
      <c r="R178" s="171">
        <f>IFERROR((COUNTIF($A:$A,'Client Level Data'!$A178))/COUNTIF($B:$B,$B178),0)</f>
        <v>0</v>
      </c>
      <c r="S178" s="131" t="str">
        <f>IF(SUMIFS($R:$R,$J:$J,"Yes",$B:$B,'Client Level Data'!$B178)&gt;0,"Chronic Flag","")</f>
        <v/>
      </c>
      <c r="T178" s="171" t="str">
        <f>IF(SUMIFS($R:$R,$G:$G,"Yes",$B:$B,'Client Level Data'!$B178)&gt;0,"PY Flag","")</f>
        <v/>
      </c>
      <c r="U178" s="171" t="str">
        <f>IF(SUMIFS($R:$R,$D:$D,"&lt;18",$G:$G,"Yes",$B:$B,'Client Level Data'!$B178)&gt;0,"PY &lt;18",IF(SUMIFS($R:$R,$D:$D,"&gt;17",$D:$D,"&lt;25",$G:$G,"Yes",$B:$B,'Client Level Data'!$B178)&gt;0,"PY &gt;17 &lt;25",""))</f>
        <v/>
      </c>
      <c r="V178" s="172">
        <f>IF('Client Level Data'!$K178="Yes",1,0)+IF('Client Level Data'!$L178="Yes",1,0)+IF('Client Level Data'!$M178="Yes",1,0)</f>
        <v>0</v>
      </c>
      <c r="W178" s="172" t="str">
        <f>IF(SUMIFS($R:$R,$F:$F,"Yes",$B:$B,'Client Level Data'!$B178)&gt;0,"Vet Flag","")</f>
        <v/>
      </c>
      <c r="X178" s="133">
        <f t="shared" si="55"/>
        <v>0</v>
      </c>
      <c r="Y178" s="133" t="e">
        <f t="shared" si="56"/>
        <v>#N/A</v>
      </c>
      <c r="Z178" s="133" t="e">
        <f t="shared" si="57"/>
        <v>#N/A</v>
      </c>
      <c r="AA178" s="133">
        <f t="shared" si="58"/>
        <v>0</v>
      </c>
      <c r="AB178" s="133" t="str">
        <f>IF(SUMIFS($R:$R,$H:$H,"Yes",$B:$B,'Client Level Data'!$B178)&gt;0,"CPY Flag","")</f>
        <v/>
      </c>
      <c r="AC178" s="133" t="str">
        <f t="shared" si="59"/>
        <v>N/A</v>
      </c>
      <c r="AD178" s="133">
        <f t="shared" si="60"/>
        <v>200</v>
      </c>
      <c r="AE178" s="133" t="str">
        <f t="shared" si="61"/>
        <v>Child</v>
      </c>
      <c r="AF178" s="133">
        <f t="shared" si="62"/>
        <v>200</v>
      </c>
      <c r="AG178" s="133" t="str">
        <f t="shared" si="63"/>
        <v>True</v>
      </c>
      <c r="AH178" s="133">
        <f t="shared" si="64"/>
        <v>200</v>
      </c>
      <c r="AI178" s="133" t="str">
        <f t="shared" si="65"/>
        <v>False</v>
      </c>
    </row>
    <row r="179" spans="1:35" ht="15.75" customHeight="1" x14ac:dyDescent="0.25">
      <c r="A179" s="192">
        <v>272</v>
      </c>
      <c r="B179" s="115"/>
      <c r="C179" s="177"/>
      <c r="D179" s="122"/>
      <c r="E179" s="184"/>
      <c r="F179" s="115"/>
      <c r="G179" s="185"/>
      <c r="H179" s="115"/>
      <c r="I179" s="177"/>
      <c r="J179" s="179"/>
      <c r="K179" s="115"/>
      <c r="L179" s="185"/>
      <c r="M179" s="115"/>
      <c r="N179" s="185"/>
      <c r="O179" s="115"/>
      <c r="P179" s="177"/>
      <c r="Q179" s="166">
        <f>IF(COUNTIF($B$8:$B207,$B179)=1,1,0)</f>
        <v>0</v>
      </c>
      <c r="R179" s="165">
        <f>IFERROR((COUNTIF($A:$A,'Client Level Data'!$A179))/COUNTIF($B:$B,$B179),0)</f>
        <v>0</v>
      </c>
      <c r="S179" s="22" t="str">
        <f>IF(SUMIFS($R:$R,$J:$J,"Yes",$B:$B,'Client Level Data'!$B179)&gt;0,"Chronic Flag","")</f>
        <v/>
      </c>
      <c r="T179" s="165" t="str">
        <f>IF(SUMIFS($R:$R,$G:$G,"Yes",$B:$B,'Client Level Data'!$B179)&gt;0,"PY Flag","")</f>
        <v/>
      </c>
      <c r="U179" s="165" t="str">
        <f>IF(SUMIFS($R:$R,$D:$D,"&lt;18",$G:$G,"Yes",$B:$B,'Client Level Data'!$B179)&gt;0,"PY &lt;18",IF(SUMIFS($R:$R,$D:$D,"&gt;17",$D:$D,"&lt;25",$G:$G,"Yes",$B:$B,'Client Level Data'!$B179)&gt;0,"PY &gt;17 &lt;25",""))</f>
        <v/>
      </c>
      <c r="V179" s="1">
        <f>IF('Client Level Data'!$K179="Yes",1,0)+IF('Client Level Data'!$L179="Yes",1,0)+IF('Client Level Data'!$M179="Yes",1,0)</f>
        <v>0</v>
      </c>
      <c r="W179" s="1" t="str">
        <f>IF(SUMIFS($R:$R,$F:$F,"Yes",$B:$B,'Client Level Data'!$B179)&gt;0,"Vet Flag","")</f>
        <v/>
      </c>
      <c r="X179" s="12">
        <f t="shared" si="55"/>
        <v>0</v>
      </c>
      <c r="Y179" s="12" t="e">
        <f t="shared" si="56"/>
        <v>#N/A</v>
      </c>
      <c r="Z179" s="12" t="e">
        <f t="shared" si="57"/>
        <v>#N/A</v>
      </c>
      <c r="AA179" s="12">
        <f t="shared" si="58"/>
        <v>0</v>
      </c>
      <c r="AB179" s="12" t="str">
        <f>IF(SUMIFS($R:$R,$H:$H,"Yes",$B:$B,'Client Level Data'!$B179)&gt;0,"CPY Flag","")</f>
        <v/>
      </c>
      <c r="AC179" s="12" t="str">
        <f t="shared" si="59"/>
        <v>N/A</v>
      </c>
      <c r="AD179" s="12">
        <f t="shared" si="60"/>
        <v>200</v>
      </c>
      <c r="AE179" s="12" t="str">
        <f t="shared" si="61"/>
        <v>Child</v>
      </c>
      <c r="AF179" s="12">
        <f t="shared" si="62"/>
        <v>200</v>
      </c>
      <c r="AG179" s="12" t="str">
        <f t="shared" si="63"/>
        <v>True</v>
      </c>
      <c r="AH179" s="12">
        <f t="shared" si="64"/>
        <v>200</v>
      </c>
      <c r="AI179" s="12" t="str">
        <f t="shared" si="65"/>
        <v>False</v>
      </c>
    </row>
    <row r="180" spans="1:35" s="133" customFormat="1" ht="15.75" customHeight="1" x14ac:dyDescent="0.25">
      <c r="A180" s="193">
        <v>273</v>
      </c>
      <c r="B180" s="175"/>
      <c r="C180" s="167"/>
      <c r="D180" s="168"/>
      <c r="E180" s="169"/>
      <c r="F180" s="175"/>
      <c r="G180" s="143"/>
      <c r="H180" s="175"/>
      <c r="I180" s="167"/>
      <c r="J180" s="126"/>
      <c r="K180" s="175"/>
      <c r="L180" s="167"/>
      <c r="M180" s="175"/>
      <c r="N180" s="167"/>
      <c r="O180" s="175"/>
      <c r="P180" s="167"/>
      <c r="Q180" s="170">
        <f>IF(COUNTIF($B$8:$B207,$B180)=1,1,0)</f>
        <v>0</v>
      </c>
      <c r="R180" s="171">
        <f>IFERROR((COUNTIF($A:$A,'Client Level Data'!$A180))/COUNTIF($B:$B,$B180),0)</f>
        <v>0</v>
      </c>
      <c r="S180" s="131" t="str">
        <f>IF(SUMIFS($R:$R,$J:$J,"Yes",$B:$B,'Client Level Data'!$B180)&gt;0,"Chronic Flag","")</f>
        <v/>
      </c>
      <c r="T180" s="171" t="str">
        <f>IF(SUMIFS($R:$R,$G:$G,"Yes",$B:$B,'Client Level Data'!$B180)&gt;0,"PY Flag","")</f>
        <v/>
      </c>
      <c r="U180" s="171" t="str">
        <f>IF(SUMIFS($R:$R,$D:$D,"&lt;18",$G:$G,"Yes",$B:$B,'Client Level Data'!$B180)&gt;0,"PY &lt;18",IF(SUMIFS($R:$R,$D:$D,"&gt;17",$D:$D,"&lt;25",$G:$G,"Yes",$B:$B,'Client Level Data'!$B180)&gt;0,"PY &gt;17 &lt;25",""))</f>
        <v/>
      </c>
      <c r="V180" s="172">
        <f>IF('Client Level Data'!$K180="Yes",1,0)+IF('Client Level Data'!$L180="Yes",1,0)+IF('Client Level Data'!$M180="Yes",1,0)</f>
        <v>0</v>
      </c>
      <c r="W180" s="172" t="str">
        <f>IF(SUMIFS($R:$R,$F:$F,"Yes",$B:$B,'Client Level Data'!$B180)&gt;0,"Vet Flag","")</f>
        <v/>
      </c>
      <c r="X180" s="133">
        <f t="shared" si="55"/>
        <v>0</v>
      </c>
      <c r="Y180" s="133" t="e">
        <f t="shared" si="56"/>
        <v>#N/A</v>
      </c>
      <c r="Z180" s="133" t="e">
        <f t="shared" si="57"/>
        <v>#N/A</v>
      </c>
      <c r="AA180" s="133">
        <f t="shared" si="58"/>
        <v>0</v>
      </c>
      <c r="AB180" s="133" t="str">
        <f>IF(SUMIFS($R:$R,$H:$H,"Yes",$B:$B,'Client Level Data'!$B180)&gt;0,"CPY Flag","")</f>
        <v/>
      </c>
      <c r="AC180" s="133" t="str">
        <f t="shared" si="59"/>
        <v>N/A</v>
      </c>
      <c r="AD180" s="133">
        <f t="shared" si="60"/>
        <v>200</v>
      </c>
      <c r="AE180" s="133" t="str">
        <f t="shared" si="61"/>
        <v>Child</v>
      </c>
      <c r="AF180" s="133">
        <f t="shared" si="62"/>
        <v>200</v>
      </c>
      <c r="AG180" s="133" t="str">
        <f t="shared" si="63"/>
        <v>True</v>
      </c>
      <c r="AH180" s="133">
        <f t="shared" si="64"/>
        <v>200</v>
      </c>
      <c r="AI180" s="133" t="str">
        <f t="shared" si="65"/>
        <v>False</v>
      </c>
    </row>
    <row r="181" spans="1:35" ht="15.75" customHeight="1" x14ac:dyDescent="0.25">
      <c r="A181" s="192">
        <v>274</v>
      </c>
      <c r="B181" s="115"/>
      <c r="C181" s="177"/>
      <c r="D181" s="122"/>
      <c r="E181" s="184"/>
      <c r="F181" s="115"/>
      <c r="G181" s="185"/>
      <c r="H181" s="115"/>
      <c r="I181" s="177"/>
      <c r="J181" s="179"/>
      <c r="K181" s="115"/>
      <c r="L181" s="185"/>
      <c r="M181" s="115"/>
      <c r="N181" s="185"/>
      <c r="O181" s="115"/>
      <c r="P181" s="177"/>
      <c r="Q181" s="166">
        <f>IF(COUNTIF($B$8:$B207,$B181)=1,1,0)</f>
        <v>0</v>
      </c>
      <c r="R181" s="165">
        <f>IFERROR((COUNTIF($A:$A,'Client Level Data'!$A181))/COUNTIF($B:$B,$B181),0)</f>
        <v>0</v>
      </c>
      <c r="S181" s="22" t="str">
        <f>IF(SUMIFS($R:$R,$J:$J,"Yes",$B:$B,'Client Level Data'!$B181)&gt;0,"Chronic Flag","")</f>
        <v/>
      </c>
      <c r="T181" s="165" t="str">
        <f>IF(SUMIFS($R:$R,$G:$G,"Yes",$B:$B,'Client Level Data'!$B181)&gt;0,"PY Flag","")</f>
        <v/>
      </c>
      <c r="U181" s="165" t="str">
        <f>IF(SUMIFS($R:$R,$D:$D,"&lt;18",$G:$G,"Yes",$B:$B,'Client Level Data'!$B181)&gt;0,"PY &lt;18",IF(SUMIFS($R:$R,$D:$D,"&gt;17",$D:$D,"&lt;25",$G:$G,"Yes",$B:$B,'Client Level Data'!$B181)&gt;0,"PY &gt;17 &lt;25",""))</f>
        <v/>
      </c>
      <c r="V181" s="1">
        <f>IF('Client Level Data'!$K181="Yes",1,0)+IF('Client Level Data'!$L181="Yes",1,0)+IF('Client Level Data'!$M181="Yes",1,0)</f>
        <v>0</v>
      </c>
      <c r="W181" s="1" t="str">
        <f>IF(SUMIFS($R:$R,$F:$F,"Yes",$B:$B,'Client Level Data'!$B181)&gt;0,"Vet Flag","")</f>
        <v/>
      </c>
      <c r="X181" s="12">
        <f t="shared" si="55"/>
        <v>0</v>
      </c>
      <c r="Y181" s="12" t="e">
        <f t="shared" si="56"/>
        <v>#N/A</v>
      </c>
      <c r="Z181" s="12" t="e">
        <f t="shared" si="57"/>
        <v>#N/A</v>
      </c>
      <c r="AA181" s="12">
        <f t="shared" si="58"/>
        <v>0</v>
      </c>
      <c r="AB181" s="12" t="str">
        <f>IF(SUMIFS($R:$R,$H:$H,"Yes",$B:$B,'Client Level Data'!$B181)&gt;0,"CPY Flag","")</f>
        <v/>
      </c>
      <c r="AC181" s="12" t="str">
        <f t="shared" si="59"/>
        <v>N/A</v>
      </c>
      <c r="AD181" s="12">
        <f t="shared" si="60"/>
        <v>200</v>
      </c>
      <c r="AE181" s="12" t="str">
        <f t="shared" si="61"/>
        <v>Child</v>
      </c>
      <c r="AF181" s="12">
        <f t="shared" si="62"/>
        <v>200</v>
      </c>
      <c r="AG181" s="12" t="str">
        <f t="shared" si="63"/>
        <v>True</v>
      </c>
      <c r="AH181" s="12">
        <f t="shared" si="64"/>
        <v>200</v>
      </c>
      <c r="AI181" s="12" t="str">
        <f t="shared" si="65"/>
        <v>False</v>
      </c>
    </row>
    <row r="182" spans="1:35" s="133" customFormat="1" ht="15.75" customHeight="1" x14ac:dyDescent="0.25">
      <c r="A182" s="193">
        <v>275</v>
      </c>
      <c r="B182" s="175"/>
      <c r="C182" s="167"/>
      <c r="D182" s="168"/>
      <c r="E182" s="169"/>
      <c r="F182" s="175"/>
      <c r="G182" s="143"/>
      <c r="H182" s="175"/>
      <c r="I182" s="167"/>
      <c r="J182" s="126"/>
      <c r="K182" s="175"/>
      <c r="L182" s="167"/>
      <c r="M182" s="175"/>
      <c r="N182" s="167"/>
      <c r="O182" s="175"/>
      <c r="P182" s="167"/>
      <c r="Q182" s="170">
        <f>IF(COUNTIF($B$8:$B207,$B182)=1,1,0)</f>
        <v>0</v>
      </c>
      <c r="R182" s="171">
        <f>IFERROR((COUNTIF($A:$A,'Client Level Data'!$A182))/COUNTIF($B:$B,$B182),0)</f>
        <v>0</v>
      </c>
      <c r="S182" s="131" t="str">
        <f>IF(SUMIFS($R:$R,$J:$J,"Yes",$B:$B,'Client Level Data'!$B182)&gt;0,"Chronic Flag","")</f>
        <v/>
      </c>
      <c r="T182" s="171" t="str">
        <f>IF(SUMIFS($R:$R,$G:$G,"Yes",$B:$B,'Client Level Data'!$B182)&gt;0,"PY Flag","")</f>
        <v/>
      </c>
      <c r="U182" s="171" t="str">
        <f>IF(SUMIFS($R:$R,$D:$D,"&lt;18",$G:$G,"Yes",$B:$B,'Client Level Data'!$B182)&gt;0,"PY &lt;18",IF(SUMIFS($R:$R,$D:$D,"&gt;17",$D:$D,"&lt;25",$G:$G,"Yes",$B:$B,'Client Level Data'!$B182)&gt;0,"PY &gt;17 &lt;25",""))</f>
        <v/>
      </c>
      <c r="V182" s="172">
        <f>IF('Client Level Data'!$K182="Yes",1,0)+IF('Client Level Data'!$L182="Yes",1,0)+IF('Client Level Data'!$M182="Yes",1,0)</f>
        <v>0</v>
      </c>
      <c r="W182" s="172" t="str">
        <f>IF(SUMIFS($R:$R,$F:$F,"Yes",$B:$B,'Client Level Data'!$B182)&gt;0,"Vet Flag","")</f>
        <v/>
      </c>
      <c r="X182" s="133">
        <f t="shared" si="55"/>
        <v>0</v>
      </c>
      <c r="Y182" s="133" t="e">
        <f t="shared" si="56"/>
        <v>#N/A</v>
      </c>
      <c r="Z182" s="133" t="e">
        <f t="shared" si="57"/>
        <v>#N/A</v>
      </c>
      <c r="AA182" s="133">
        <f t="shared" si="58"/>
        <v>0</v>
      </c>
      <c r="AB182" s="133" t="str">
        <f>IF(SUMIFS($R:$R,$H:$H,"Yes",$B:$B,'Client Level Data'!$B182)&gt;0,"CPY Flag","")</f>
        <v/>
      </c>
      <c r="AC182" s="133" t="str">
        <f t="shared" si="59"/>
        <v>N/A</v>
      </c>
      <c r="AD182" s="133">
        <f t="shared" si="60"/>
        <v>200</v>
      </c>
      <c r="AE182" s="133" t="str">
        <f t="shared" si="61"/>
        <v>Child</v>
      </c>
      <c r="AF182" s="133">
        <f t="shared" si="62"/>
        <v>200</v>
      </c>
      <c r="AG182" s="133" t="str">
        <f t="shared" si="63"/>
        <v>True</v>
      </c>
      <c r="AH182" s="133">
        <f t="shared" si="64"/>
        <v>200</v>
      </c>
      <c r="AI182" s="133" t="str">
        <f t="shared" si="65"/>
        <v>False</v>
      </c>
    </row>
    <row r="183" spans="1:35" ht="15.75" customHeight="1" x14ac:dyDescent="0.25">
      <c r="A183" s="192">
        <v>276</v>
      </c>
      <c r="B183" s="115"/>
      <c r="C183" s="177"/>
      <c r="D183" s="122"/>
      <c r="E183" s="184"/>
      <c r="F183" s="115"/>
      <c r="G183" s="185"/>
      <c r="H183" s="115"/>
      <c r="I183" s="177"/>
      <c r="J183" s="179"/>
      <c r="K183" s="115"/>
      <c r="L183" s="185"/>
      <c r="M183" s="115"/>
      <c r="N183" s="185"/>
      <c r="O183" s="115"/>
      <c r="P183" s="177"/>
      <c r="Q183" s="166">
        <f>IF(COUNTIF($B$8:$B207,$B183)=1,1,0)</f>
        <v>0</v>
      </c>
      <c r="R183" s="165">
        <f>IFERROR((COUNTIF($A:$A,'Client Level Data'!$A183))/COUNTIF($B:$B,$B183),0)</f>
        <v>0</v>
      </c>
      <c r="S183" s="22" t="str">
        <f>IF(SUMIFS($R:$R,$J:$J,"Yes",$B:$B,'Client Level Data'!$B183)&gt;0,"Chronic Flag","")</f>
        <v/>
      </c>
      <c r="T183" s="165" t="str">
        <f>IF(SUMIFS($R:$R,$G:$G,"Yes",$B:$B,'Client Level Data'!$B183)&gt;0,"PY Flag","")</f>
        <v/>
      </c>
      <c r="U183" s="165" t="str">
        <f>IF(SUMIFS($R:$R,$D:$D,"&lt;18",$G:$G,"Yes",$B:$B,'Client Level Data'!$B183)&gt;0,"PY &lt;18",IF(SUMIFS($R:$R,$D:$D,"&gt;17",$D:$D,"&lt;25",$G:$G,"Yes",$B:$B,'Client Level Data'!$B183)&gt;0,"PY &gt;17 &lt;25",""))</f>
        <v/>
      </c>
      <c r="V183" s="1">
        <f>IF('Client Level Data'!$K183="Yes",1,0)+IF('Client Level Data'!$L183="Yes",1,0)+IF('Client Level Data'!$M183="Yes",1,0)</f>
        <v>0</v>
      </c>
      <c r="W183" s="1" t="str">
        <f>IF(SUMIFS($R:$R,$F:$F,"Yes",$B:$B,'Client Level Data'!$B183)&gt;0,"Vet Flag","")</f>
        <v/>
      </c>
      <c r="X183" s="12">
        <f t="shared" si="55"/>
        <v>0</v>
      </c>
      <c r="Y183" s="12" t="e">
        <f t="shared" si="56"/>
        <v>#N/A</v>
      </c>
      <c r="Z183" s="12" t="e">
        <f t="shared" si="57"/>
        <v>#N/A</v>
      </c>
      <c r="AA183" s="12">
        <f t="shared" si="58"/>
        <v>0</v>
      </c>
      <c r="AB183" s="12" t="str">
        <f>IF(SUMIFS($R:$R,$H:$H,"Yes",$B:$B,'Client Level Data'!$B183)&gt;0,"CPY Flag","")</f>
        <v/>
      </c>
      <c r="AC183" s="12" t="str">
        <f t="shared" si="59"/>
        <v>N/A</v>
      </c>
      <c r="AD183" s="12">
        <f t="shared" si="60"/>
        <v>200</v>
      </c>
      <c r="AE183" s="12" t="str">
        <f t="shared" si="61"/>
        <v>Child</v>
      </c>
      <c r="AF183" s="12">
        <f t="shared" si="62"/>
        <v>200</v>
      </c>
      <c r="AG183" s="12" t="str">
        <f t="shared" si="63"/>
        <v>True</v>
      </c>
      <c r="AH183" s="12">
        <f t="shared" si="64"/>
        <v>200</v>
      </c>
      <c r="AI183" s="12" t="str">
        <f t="shared" si="65"/>
        <v>False</v>
      </c>
    </row>
    <row r="184" spans="1:35" s="133" customFormat="1" ht="15.75" customHeight="1" x14ac:dyDescent="0.25">
      <c r="A184" s="193">
        <v>277</v>
      </c>
      <c r="B184" s="175"/>
      <c r="C184" s="167"/>
      <c r="D184" s="168"/>
      <c r="E184" s="169"/>
      <c r="F184" s="175"/>
      <c r="G184" s="143"/>
      <c r="H184" s="175"/>
      <c r="I184" s="167"/>
      <c r="J184" s="126"/>
      <c r="K184" s="175"/>
      <c r="L184" s="167"/>
      <c r="M184" s="175"/>
      <c r="N184" s="167"/>
      <c r="O184" s="175"/>
      <c r="P184" s="167"/>
      <c r="Q184" s="170">
        <f>IF(COUNTIF($B$8:$B207,$B184)=1,1,0)</f>
        <v>0</v>
      </c>
      <c r="R184" s="171">
        <f>IFERROR((COUNTIF($A:$A,'Client Level Data'!$A184))/COUNTIF($B:$B,$B184),0)</f>
        <v>0</v>
      </c>
      <c r="S184" s="131" t="str">
        <f>IF(SUMIFS($R:$R,$J:$J,"Yes",$B:$B,'Client Level Data'!$B184)&gt;0,"Chronic Flag","")</f>
        <v/>
      </c>
      <c r="T184" s="171" t="str">
        <f>IF(SUMIFS($R:$R,$G:$G,"Yes",$B:$B,'Client Level Data'!$B184)&gt;0,"PY Flag","")</f>
        <v/>
      </c>
      <c r="U184" s="171" t="str">
        <f>IF(SUMIFS($R:$R,$D:$D,"&lt;18",$G:$G,"Yes",$B:$B,'Client Level Data'!$B184)&gt;0,"PY &lt;18",IF(SUMIFS($R:$R,$D:$D,"&gt;17",$D:$D,"&lt;25",$G:$G,"Yes",$B:$B,'Client Level Data'!$B184)&gt;0,"PY &gt;17 &lt;25",""))</f>
        <v/>
      </c>
      <c r="V184" s="172">
        <f>IF('Client Level Data'!$K184="Yes",1,0)+IF('Client Level Data'!$L184="Yes",1,0)+IF('Client Level Data'!$M184="Yes",1,0)</f>
        <v>0</v>
      </c>
      <c r="W184" s="172" t="str">
        <f>IF(SUMIFS($R:$R,$F:$F,"Yes",$B:$B,'Client Level Data'!$B184)&gt;0,"Vet Flag","")</f>
        <v/>
      </c>
      <c r="X184" s="133">
        <f t="shared" si="55"/>
        <v>0</v>
      </c>
      <c r="Y184" s="133" t="e">
        <f t="shared" si="56"/>
        <v>#N/A</v>
      </c>
      <c r="Z184" s="133" t="e">
        <f t="shared" si="57"/>
        <v>#N/A</v>
      </c>
      <c r="AA184" s="133">
        <f t="shared" si="58"/>
        <v>0</v>
      </c>
      <c r="AB184" s="133" t="str">
        <f>IF(SUMIFS($R:$R,$H:$H,"Yes",$B:$B,'Client Level Data'!$B184)&gt;0,"CPY Flag","")</f>
        <v/>
      </c>
      <c r="AC184" s="133" t="str">
        <f t="shared" si="59"/>
        <v>N/A</v>
      </c>
      <c r="AD184" s="133">
        <f t="shared" si="60"/>
        <v>200</v>
      </c>
      <c r="AE184" s="133" t="str">
        <f t="shared" si="61"/>
        <v>Child</v>
      </c>
      <c r="AF184" s="133">
        <f t="shared" si="62"/>
        <v>200</v>
      </c>
      <c r="AG184" s="133" t="str">
        <f t="shared" si="63"/>
        <v>True</v>
      </c>
      <c r="AH184" s="133">
        <f t="shared" si="64"/>
        <v>200</v>
      </c>
      <c r="AI184" s="133" t="str">
        <f t="shared" si="65"/>
        <v>False</v>
      </c>
    </row>
    <row r="185" spans="1:35" ht="15.75" customHeight="1" x14ac:dyDescent="0.25">
      <c r="A185" s="192">
        <v>278</v>
      </c>
      <c r="B185" s="115"/>
      <c r="C185" s="177"/>
      <c r="D185" s="122"/>
      <c r="E185" s="184"/>
      <c r="F185" s="115"/>
      <c r="G185" s="185"/>
      <c r="H185" s="115"/>
      <c r="I185" s="177"/>
      <c r="J185" s="179"/>
      <c r="K185" s="115"/>
      <c r="L185" s="185"/>
      <c r="M185" s="115"/>
      <c r="N185" s="185"/>
      <c r="O185" s="115"/>
      <c r="P185" s="177"/>
      <c r="Q185" s="166">
        <f>IF(COUNTIF($B$8:$B207,$B185)=1,1,0)</f>
        <v>0</v>
      </c>
      <c r="R185" s="165">
        <f>IFERROR((COUNTIF($A:$A,'Client Level Data'!$A185))/COUNTIF($B:$B,$B185),0)</f>
        <v>0</v>
      </c>
      <c r="S185" s="22" t="str">
        <f>IF(SUMIFS($R:$R,$J:$J,"Yes",$B:$B,'Client Level Data'!$B185)&gt;0,"Chronic Flag","")</f>
        <v/>
      </c>
      <c r="T185" s="165" t="str">
        <f>IF(SUMIFS($R:$R,$G:$G,"Yes",$B:$B,'Client Level Data'!$B185)&gt;0,"PY Flag","")</f>
        <v/>
      </c>
      <c r="U185" s="165" t="str">
        <f>IF(SUMIFS($R:$R,$D:$D,"&lt;18",$G:$G,"Yes",$B:$B,'Client Level Data'!$B185)&gt;0,"PY &lt;18",IF(SUMIFS($R:$R,$D:$D,"&gt;17",$D:$D,"&lt;25",$G:$G,"Yes",$B:$B,'Client Level Data'!$B185)&gt;0,"PY &gt;17 &lt;25",""))</f>
        <v/>
      </c>
      <c r="V185" s="1">
        <f>IF('Client Level Data'!$K185="Yes",1,0)+IF('Client Level Data'!$L185="Yes",1,0)+IF('Client Level Data'!$M185="Yes",1,0)</f>
        <v>0</v>
      </c>
      <c r="W185" s="1" t="str">
        <f>IF(SUMIFS($R:$R,$F:$F,"Yes",$B:$B,'Client Level Data'!$B185)&gt;0,"Vet Flag","")</f>
        <v/>
      </c>
      <c r="X185" s="12">
        <f t="shared" si="55"/>
        <v>0</v>
      </c>
      <c r="Y185" s="12" t="e">
        <f t="shared" si="56"/>
        <v>#N/A</v>
      </c>
      <c r="Z185" s="12" t="e">
        <f t="shared" si="57"/>
        <v>#N/A</v>
      </c>
      <c r="AA185" s="12">
        <f t="shared" si="58"/>
        <v>0</v>
      </c>
      <c r="AB185" s="12" t="str">
        <f>IF(SUMIFS($R:$R,$H:$H,"Yes",$B:$B,'Client Level Data'!$B185)&gt;0,"CPY Flag","")</f>
        <v/>
      </c>
      <c r="AC185" s="12" t="str">
        <f t="shared" si="59"/>
        <v>N/A</v>
      </c>
      <c r="AD185" s="12">
        <f t="shared" si="60"/>
        <v>200</v>
      </c>
      <c r="AE185" s="12" t="str">
        <f t="shared" si="61"/>
        <v>Child</v>
      </c>
      <c r="AF185" s="12">
        <f t="shared" si="62"/>
        <v>200</v>
      </c>
      <c r="AG185" s="12" t="str">
        <f t="shared" si="63"/>
        <v>True</v>
      </c>
      <c r="AH185" s="12">
        <f t="shared" si="64"/>
        <v>200</v>
      </c>
      <c r="AI185" s="12" t="str">
        <f t="shared" si="65"/>
        <v>False</v>
      </c>
    </row>
    <row r="186" spans="1:35" s="133" customFormat="1" ht="15.75" customHeight="1" x14ac:dyDescent="0.25">
      <c r="A186" s="193">
        <v>279</v>
      </c>
      <c r="B186" s="175"/>
      <c r="C186" s="167"/>
      <c r="D186" s="168"/>
      <c r="E186" s="169"/>
      <c r="F186" s="175"/>
      <c r="G186" s="143"/>
      <c r="H186" s="175"/>
      <c r="I186" s="167"/>
      <c r="J186" s="126"/>
      <c r="K186" s="175"/>
      <c r="L186" s="167"/>
      <c r="M186" s="175"/>
      <c r="N186" s="167"/>
      <c r="O186" s="175"/>
      <c r="P186" s="167"/>
      <c r="Q186" s="170">
        <f>IF(COUNTIF($B$8:$B207,$B186)=1,1,0)</f>
        <v>0</v>
      </c>
      <c r="R186" s="171">
        <f>IFERROR((COUNTIF($A:$A,'Client Level Data'!$A186))/COUNTIF($B:$B,$B186),0)</f>
        <v>0</v>
      </c>
      <c r="S186" s="131" t="str">
        <f>IF(SUMIFS($R:$R,$J:$J,"Yes",$B:$B,'Client Level Data'!$B186)&gt;0,"Chronic Flag","")</f>
        <v/>
      </c>
      <c r="T186" s="171" t="str">
        <f>IF(SUMIFS($R:$R,$G:$G,"Yes",$B:$B,'Client Level Data'!$B186)&gt;0,"PY Flag","")</f>
        <v/>
      </c>
      <c r="U186" s="171" t="str">
        <f>IF(SUMIFS($R:$R,$D:$D,"&lt;18",$G:$G,"Yes",$B:$B,'Client Level Data'!$B186)&gt;0,"PY &lt;18",IF(SUMIFS($R:$R,$D:$D,"&gt;17",$D:$D,"&lt;25",$G:$G,"Yes",$B:$B,'Client Level Data'!$B186)&gt;0,"PY &gt;17 &lt;25",""))</f>
        <v/>
      </c>
      <c r="V186" s="172">
        <f>IF('Client Level Data'!$K186="Yes",1,0)+IF('Client Level Data'!$L186="Yes",1,0)+IF('Client Level Data'!$M186="Yes",1,0)</f>
        <v>0</v>
      </c>
      <c r="W186" s="172" t="str">
        <f>IF(SUMIFS($R:$R,$F:$F,"Yes",$B:$B,'Client Level Data'!$B186)&gt;0,"Vet Flag","")</f>
        <v/>
      </c>
      <c r="X186" s="133">
        <f t="shared" si="55"/>
        <v>0</v>
      </c>
      <c r="Y186" s="133" t="e">
        <f t="shared" si="56"/>
        <v>#N/A</v>
      </c>
      <c r="Z186" s="133" t="e">
        <f t="shared" si="57"/>
        <v>#N/A</v>
      </c>
      <c r="AA186" s="133">
        <f t="shared" si="58"/>
        <v>0</v>
      </c>
      <c r="AB186" s="133" t="str">
        <f>IF(SUMIFS($R:$R,$H:$H,"Yes",$B:$B,'Client Level Data'!$B186)&gt;0,"CPY Flag","")</f>
        <v/>
      </c>
      <c r="AC186" s="133" t="str">
        <f t="shared" si="59"/>
        <v>N/A</v>
      </c>
      <c r="AD186" s="133">
        <f t="shared" si="60"/>
        <v>200</v>
      </c>
      <c r="AE186" s="133" t="str">
        <f t="shared" si="61"/>
        <v>Child</v>
      </c>
      <c r="AF186" s="133">
        <f t="shared" si="62"/>
        <v>200</v>
      </c>
      <c r="AG186" s="133" t="str">
        <f t="shared" si="63"/>
        <v>True</v>
      </c>
      <c r="AH186" s="133">
        <f t="shared" si="64"/>
        <v>200</v>
      </c>
      <c r="AI186" s="133" t="str">
        <f t="shared" si="65"/>
        <v>False</v>
      </c>
    </row>
    <row r="187" spans="1:35" ht="15.75" customHeight="1" x14ac:dyDescent="0.25">
      <c r="A187" s="192">
        <v>280</v>
      </c>
      <c r="B187" s="115"/>
      <c r="C187" s="177"/>
      <c r="D187" s="122"/>
      <c r="E187" s="184"/>
      <c r="F187" s="115"/>
      <c r="G187" s="185"/>
      <c r="H187" s="115"/>
      <c r="I187" s="177"/>
      <c r="J187" s="179"/>
      <c r="K187" s="115"/>
      <c r="L187" s="185"/>
      <c r="M187" s="115"/>
      <c r="N187" s="185"/>
      <c r="O187" s="115"/>
      <c r="P187" s="177"/>
      <c r="Q187" s="166">
        <f>IF(COUNTIF($B$8:$B207,$B187)=1,1,0)</f>
        <v>0</v>
      </c>
      <c r="R187" s="165">
        <f>IFERROR((COUNTIF($A:$A,'Client Level Data'!$A187))/COUNTIF($B:$B,$B187),0)</f>
        <v>0</v>
      </c>
      <c r="S187" s="22" t="str">
        <f>IF(SUMIFS($R:$R,$J:$J,"Yes",$B:$B,'Client Level Data'!$B187)&gt;0,"Chronic Flag","")</f>
        <v/>
      </c>
      <c r="T187" s="165" t="str">
        <f>IF(SUMIFS($R:$R,$G:$G,"Yes",$B:$B,'Client Level Data'!$B187)&gt;0,"PY Flag","")</f>
        <v/>
      </c>
      <c r="U187" s="165" t="str">
        <f>IF(SUMIFS($R:$R,$D:$D,"&lt;18",$G:$G,"Yes",$B:$B,'Client Level Data'!$B187)&gt;0,"PY &lt;18",IF(SUMIFS($R:$R,$D:$D,"&gt;17",$D:$D,"&lt;25",$G:$G,"Yes",$B:$B,'Client Level Data'!$B187)&gt;0,"PY &gt;17 &lt;25",""))</f>
        <v/>
      </c>
      <c r="V187" s="1">
        <f>IF('Client Level Data'!$K187="Yes",1,0)+IF('Client Level Data'!$L187="Yes",1,0)+IF('Client Level Data'!$M187="Yes",1,0)</f>
        <v>0</v>
      </c>
      <c r="W187" s="1" t="str">
        <f>IF(SUMIFS($R:$R,$F:$F,"Yes",$B:$B,'Client Level Data'!$B187)&gt;0,"Vet Flag","")</f>
        <v/>
      </c>
      <c r="X187" s="12">
        <f t="shared" si="55"/>
        <v>0</v>
      </c>
      <c r="Y187" s="12" t="e">
        <f t="shared" si="56"/>
        <v>#N/A</v>
      </c>
      <c r="Z187" s="12" t="e">
        <f t="shared" si="57"/>
        <v>#N/A</v>
      </c>
      <c r="AA187" s="12">
        <f t="shared" si="58"/>
        <v>0</v>
      </c>
      <c r="AB187" s="12" t="str">
        <f>IF(SUMIFS($R:$R,$H:$H,"Yes",$B:$B,'Client Level Data'!$B187)&gt;0,"CPY Flag","")</f>
        <v/>
      </c>
      <c r="AC187" s="12" t="str">
        <f t="shared" si="59"/>
        <v>N/A</v>
      </c>
      <c r="AD187" s="12">
        <f t="shared" si="60"/>
        <v>200</v>
      </c>
      <c r="AE187" s="12" t="str">
        <f t="shared" si="61"/>
        <v>Child</v>
      </c>
      <c r="AF187" s="12">
        <f t="shared" si="62"/>
        <v>200</v>
      </c>
      <c r="AG187" s="12" t="str">
        <f t="shared" si="63"/>
        <v>True</v>
      </c>
      <c r="AH187" s="12">
        <f t="shared" si="64"/>
        <v>200</v>
      </c>
      <c r="AI187" s="12" t="str">
        <f t="shared" si="65"/>
        <v>False</v>
      </c>
    </row>
    <row r="188" spans="1:35" s="133" customFormat="1" ht="15.75" customHeight="1" x14ac:dyDescent="0.25">
      <c r="A188" s="193">
        <v>281</v>
      </c>
      <c r="B188" s="175"/>
      <c r="C188" s="167"/>
      <c r="D188" s="168"/>
      <c r="E188" s="169"/>
      <c r="F188" s="175"/>
      <c r="G188" s="143"/>
      <c r="H188" s="175"/>
      <c r="I188" s="167"/>
      <c r="J188" s="126"/>
      <c r="K188" s="175"/>
      <c r="L188" s="167"/>
      <c r="M188" s="175"/>
      <c r="N188" s="167"/>
      <c r="O188" s="175"/>
      <c r="P188" s="167"/>
      <c r="Q188" s="170">
        <f>IF(COUNTIF($B$8:$B207,$B188)=1,1,0)</f>
        <v>0</v>
      </c>
      <c r="R188" s="171">
        <f>IFERROR((COUNTIF($A:$A,'Client Level Data'!$A188))/COUNTIF($B:$B,$B188),0)</f>
        <v>0</v>
      </c>
      <c r="S188" s="131" t="str">
        <f>IF(SUMIFS($R:$R,$J:$J,"Yes",$B:$B,'Client Level Data'!$B188)&gt;0,"Chronic Flag","")</f>
        <v/>
      </c>
      <c r="T188" s="171" t="str">
        <f>IF(SUMIFS($R:$R,$G:$G,"Yes",$B:$B,'Client Level Data'!$B188)&gt;0,"PY Flag","")</f>
        <v/>
      </c>
      <c r="U188" s="171" t="str">
        <f>IF(SUMIFS($R:$R,$D:$D,"&lt;18",$G:$G,"Yes",$B:$B,'Client Level Data'!$B188)&gt;0,"PY &lt;18",IF(SUMIFS($R:$R,$D:$D,"&gt;17",$D:$D,"&lt;25",$G:$G,"Yes",$B:$B,'Client Level Data'!$B188)&gt;0,"PY &gt;17 &lt;25",""))</f>
        <v/>
      </c>
      <c r="V188" s="172">
        <f>IF('Client Level Data'!$K188="Yes",1,0)+IF('Client Level Data'!$L188="Yes",1,0)+IF('Client Level Data'!$M188="Yes",1,0)</f>
        <v>0</v>
      </c>
      <c r="W188" s="172" t="str">
        <f>IF(SUMIFS($R:$R,$F:$F,"Yes",$B:$B,'Client Level Data'!$B188)&gt;0,"Vet Flag","")</f>
        <v/>
      </c>
      <c r="X188" s="133">
        <f t="shared" si="55"/>
        <v>0</v>
      </c>
      <c r="Y188" s="133" t="e">
        <f t="shared" si="56"/>
        <v>#N/A</v>
      </c>
      <c r="Z188" s="133" t="e">
        <f t="shared" si="57"/>
        <v>#N/A</v>
      </c>
      <c r="AA188" s="133">
        <f t="shared" si="58"/>
        <v>0</v>
      </c>
      <c r="AB188" s="133" t="str">
        <f>IF(SUMIFS($R:$R,$H:$H,"Yes",$B:$B,'Client Level Data'!$B188)&gt;0,"CPY Flag","")</f>
        <v/>
      </c>
      <c r="AC188" s="133" t="str">
        <f t="shared" si="59"/>
        <v>N/A</v>
      </c>
      <c r="AD188" s="133">
        <f t="shared" si="60"/>
        <v>200</v>
      </c>
      <c r="AE188" s="133" t="str">
        <f t="shared" si="61"/>
        <v>Child</v>
      </c>
      <c r="AF188" s="133">
        <f t="shared" si="62"/>
        <v>200</v>
      </c>
      <c r="AG188" s="133" t="str">
        <f t="shared" si="63"/>
        <v>True</v>
      </c>
      <c r="AH188" s="133">
        <f t="shared" si="64"/>
        <v>200</v>
      </c>
      <c r="AI188" s="133" t="str">
        <f t="shared" si="65"/>
        <v>False</v>
      </c>
    </row>
    <row r="189" spans="1:35" ht="15.75" customHeight="1" x14ac:dyDescent="0.25">
      <c r="A189" s="192">
        <v>282</v>
      </c>
      <c r="B189" s="115"/>
      <c r="C189" s="177"/>
      <c r="D189" s="122"/>
      <c r="E189" s="184"/>
      <c r="F189" s="115"/>
      <c r="G189" s="185"/>
      <c r="H189" s="115"/>
      <c r="I189" s="177"/>
      <c r="J189" s="179"/>
      <c r="K189" s="115"/>
      <c r="L189" s="185"/>
      <c r="M189" s="115"/>
      <c r="N189" s="185"/>
      <c r="O189" s="115"/>
      <c r="P189" s="177"/>
      <c r="Q189" s="166">
        <f>IF(COUNTIF($B$8:$B207,$B189)=1,1,0)</f>
        <v>0</v>
      </c>
      <c r="R189" s="165">
        <f>IFERROR((COUNTIF($A:$A,'Client Level Data'!$A189))/COUNTIF($B:$B,$B189),0)</f>
        <v>0</v>
      </c>
      <c r="S189" s="22" t="str">
        <f>IF(SUMIFS($R:$R,$J:$J,"Yes",$B:$B,'Client Level Data'!$B189)&gt;0,"Chronic Flag","")</f>
        <v/>
      </c>
      <c r="T189" s="165" t="str">
        <f>IF(SUMIFS($R:$R,$G:$G,"Yes",$B:$B,'Client Level Data'!$B189)&gt;0,"PY Flag","")</f>
        <v/>
      </c>
      <c r="U189" s="165" t="str">
        <f>IF(SUMIFS($R:$R,$D:$D,"&lt;18",$G:$G,"Yes",$B:$B,'Client Level Data'!$B189)&gt;0,"PY &lt;18",IF(SUMIFS($R:$R,$D:$D,"&gt;17",$D:$D,"&lt;25",$G:$G,"Yes",$B:$B,'Client Level Data'!$B189)&gt;0,"PY &gt;17 &lt;25",""))</f>
        <v/>
      </c>
      <c r="V189" s="1">
        <f>IF('Client Level Data'!$K189="Yes",1,0)+IF('Client Level Data'!$L189="Yes",1,0)+IF('Client Level Data'!$M189="Yes",1,0)</f>
        <v>0</v>
      </c>
      <c r="W189" s="1" t="str">
        <f>IF(SUMIFS($R:$R,$F:$F,"Yes",$B:$B,'Client Level Data'!$B189)&gt;0,"Vet Flag","")</f>
        <v/>
      </c>
      <c r="X189" s="12">
        <f t="shared" si="55"/>
        <v>0</v>
      </c>
      <c r="Y189" s="12" t="e">
        <f t="shared" si="56"/>
        <v>#N/A</v>
      </c>
      <c r="Z189" s="12" t="e">
        <f t="shared" si="57"/>
        <v>#N/A</v>
      </c>
      <c r="AA189" s="12">
        <f t="shared" si="58"/>
        <v>0</v>
      </c>
      <c r="AB189" s="12" t="str">
        <f>IF(SUMIFS($R:$R,$H:$H,"Yes",$B:$B,'Client Level Data'!$B189)&gt;0,"CPY Flag","")</f>
        <v/>
      </c>
      <c r="AC189" s="12" t="str">
        <f t="shared" si="59"/>
        <v>N/A</v>
      </c>
      <c r="AD189" s="12">
        <f t="shared" si="60"/>
        <v>200</v>
      </c>
      <c r="AE189" s="12" t="str">
        <f t="shared" si="61"/>
        <v>Child</v>
      </c>
      <c r="AF189" s="12">
        <f t="shared" si="62"/>
        <v>200</v>
      </c>
      <c r="AG189" s="12" t="str">
        <f t="shared" si="63"/>
        <v>True</v>
      </c>
      <c r="AH189" s="12">
        <f t="shared" si="64"/>
        <v>200</v>
      </c>
      <c r="AI189" s="12" t="str">
        <f t="shared" si="65"/>
        <v>False</v>
      </c>
    </row>
    <row r="190" spans="1:35" s="133" customFormat="1" ht="15.75" customHeight="1" x14ac:dyDescent="0.25">
      <c r="A190" s="193">
        <v>283</v>
      </c>
      <c r="B190" s="175"/>
      <c r="C190" s="167"/>
      <c r="D190" s="168"/>
      <c r="E190" s="169"/>
      <c r="F190" s="175"/>
      <c r="G190" s="143"/>
      <c r="H190" s="175"/>
      <c r="I190" s="167"/>
      <c r="J190" s="126"/>
      <c r="K190" s="175"/>
      <c r="L190" s="167"/>
      <c r="M190" s="175"/>
      <c r="N190" s="167"/>
      <c r="O190" s="175"/>
      <c r="P190" s="167"/>
      <c r="Q190" s="170">
        <f>IF(COUNTIF($B$8:$B207,$B190)=1,1,0)</f>
        <v>0</v>
      </c>
      <c r="R190" s="171">
        <f>IFERROR((COUNTIF($A:$A,'Client Level Data'!$A190))/COUNTIF($B:$B,$B190),0)</f>
        <v>0</v>
      </c>
      <c r="S190" s="131" t="str">
        <f>IF(SUMIFS($R:$R,$J:$J,"Yes",$B:$B,'Client Level Data'!$B190)&gt;0,"Chronic Flag","")</f>
        <v/>
      </c>
      <c r="T190" s="171" t="str">
        <f>IF(SUMIFS($R:$R,$G:$G,"Yes",$B:$B,'Client Level Data'!$B190)&gt;0,"PY Flag","")</f>
        <v/>
      </c>
      <c r="U190" s="171" t="str">
        <f>IF(SUMIFS($R:$R,$D:$D,"&lt;18",$G:$G,"Yes",$B:$B,'Client Level Data'!$B190)&gt;0,"PY &lt;18",IF(SUMIFS($R:$R,$D:$D,"&gt;17",$D:$D,"&lt;25",$G:$G,"Yes",$B:$B,'Client Level Data'!$B190)&gt;0,"PY &gt;17 &lt;25",""))</f>
        <v/>
      </c>
      <c r="V190" s="172">
        <f>IF('Client Level Data'!$K190="Yes",1,0)+IF('Client Level Data'!$L190="Yes",1,0)+IF('Client Level Data'!$M190="Yes",1,0)</f>
        <v>0</v>
      </c>
      <c r="W190" s="172" t="str">
        <f>IF(SUMIFS($R:$R,$F:$F,"Yes",$B:$B,'Client Level Data'!$B190)&gt;0,"Vet Flag","")</f>
        <v/>
      </c>
      <c r="X190" s="133">
        <f t="shared" si="55"/>
        <v>0</v>
      </c>
      <c r="Y190" s="133" t="e">
        <f t="shared" si="56"/>
        <v>#N/A</v>
      </c>
      <c r="Z190" s="133" t="e">
        <f t="shared" si="57"/>
        <v>#N/A</v>
      </c>
      <c r="AA190" s="133">
        <f t="shared" si="58"/>
        <v>0</v>
      </c>
      <c r="AB190" s="133" t="str">
        <f>IF(SUMIFS($R:$R,$H:$H,"Yes",$B:$B,'Client Level Data'!$B190)&gt;0,"CPY Flag","")</f>
        <v/>
      </c>
      <c r="AC190" s="133" t="str">
        <f t="shared" si="59"/>
        <v>N/A</v>
      </c>
      <c r="AD190" s="133">
        <f t="shared" si="60"/>
        <v>200</v>
      </c>
      <c r="AE190" s="133" t="str">
        <f t="shared" si="61"/>
        <v>Child</v>
      </c>
      <c r="AF190" s="133">
        <f t="shared" si="62"/>
        <v>200</v>
      </c>
      <c r="AG190" s="133" t="str">
        <f t="shared" si="63"/>
        <v>True</v>
      </c>
      <c r="AH190" s="133">
        <f t="shared" si="64"/>
        <v>200</v>
      </c>
      <c r="AI190" s="133" t="str">
        <f t="shared" si="65"/>
        <v>False</v>
      </c>
    </row>
    <row r="191" spans="1:35" ht="16.5" customHeight="1" x14ac:dyDescent="0.25">
      <c r="A191" s="192">
        <v>284</v>
      </c>
      <c r="B191" s="115"/>
      <c r="C191" s="177"/>
      <c r="D191" s="122"/>
      <c r="E191" s="184"/>
      <c r="F191" s="115"/>
      <c r="G191" s="185"/>
      <c r="H191" s="115"/>
      <c r="I191" s="177"/>
      <c r="J191" s="179"/>
      <c r="K191" s="115"/>
      <c r="L191" s="185"/>
      <c r="M191" s="115"/>
      <c r="N191" s="185"/>
      <c r="O191" s="115"/>
      <c r="P191" s="177"/>
      <c r="Q191" s="166">
        <f>IF(COUNTIF($B$8:$B207,$B191)=1,1,0)</f>
        <v>0</v>
      </c>
      <c r="R191" s="165">
        <f>IFERROR((COUNTIF($A:$A,'Client Level Data'!$A191))/COUNTIF($B:$B,$B191),0)</f>
        <v>0</v>
      </c>
      <c r="S191" s="22" t="str">
        <f>IF(SUMIFS($R:$R,$J:$J,"Yes",$B:$B,'Client Level Data'!$B191)&gt;0,"Chronic Flag","")</f>
        <v/>
      </c>
      <c r="T191" s="165" t="str">
        <f>IF(SUMIFS($R:$R,$G:$G,"Yes",$B:$B,'Client Level Data'!$B191)&gt;0,"PY Flag","")</f>
        <v/>
      </c>
      <c r="U191" s="165" t="str">
        <f>IF(SUMIFS($R:$R,$D:$D,"&lt;18",$G:$G,"Yes",$B:$B,'Client Level Data'!$B191)&gt;0,"PY &lt;18",IF(SUMIFS($R:$R,$D:$D,"&gt;17",$D:$D,"&lt;25",$G:$G,"Yes",$B:$B,'Client Level Data'!$B191)&gt;0,"PY &gt;17 &lt;25",""))</f>
        <v/>
      </c>
      <c r="V191" s="1">
        <f>IF('Client Level Data'!$K191="Yes",1,0)+IF('Client Level Data'!$L191="Yes",1,0)+IF('Client Level Data'!$M191="Yes",1,0)</f>
        <v>0</v>
      </c>
      <c r="W191" s="1" t="str">
        <f>IF(SUMIFS($R:$R,$F:$F,"Yes",$B:$B,'Client Level Data'!$B191)&gt;0,"Vet Flag","")</f>
        <v/>
      </c>
      <c r="X191" s="12">
        <f t="shared" si="55"/>
        <v>0</v>
      </c>
      <c r="Y191" s="12" t="e">
        <f t="shared" si="56"/>
        <v>#N/A</v>
      </c>
      <c r="Z191" s="12" t="e">
        <f t="shared" si="57"/>
        <v>#N/A</v>
      </c>
      <c r="AA191" s="12">
        <f t="shared" si="58"/>
        <v>0</v>
      </c>
      <c r="AB191" s="12" t="str">
        <f>IF(SUMIFS($R:$R,$H:$H,"Yes",$B:$B,'Client Level Data'!$B191)&gt;0,"CPY Flag","")</f>
        <v/>
      </c>
      <c r="AC191" s="12" t="str">
        <f t="shared" si="59"/>
        <v>N/A</v>
      </c>
      <c r="AD191" s="12">
        <f t="shared" si="60"/>
        <v>200</v>
      </c>
      <c r="AE191" s="12" t="str">
        <f t="shared" si="61"/>
        <v>Child</v>
      </c>
      <c r="AF191" s="12">
        <f t="shared" si="62"/>
        <v>200</v>
      </c>
      <c r="AG191" s="12" t="str">
        <f t="shared" si="63"/>
        <v>True</v>
      </c>
      <c r="AH191" s="12">
        <f t="shared" si="64"/>
        <v>200</v>
      </c>
      <c r="AI191" s="12" t="str">
        <f t="shared" si="65"/>
        <v>False</v>
      </c>
    </row>
    <row r="192" spans="1:35" s="133" customFormat="1" ht="15.75" customHeight="1" x14ac:dyDescent="0.25">
      <c r="A192" s="193">
        <v>285</v>
      </c>
      <c r="B192" s="175"/>
      <c r="C192" s="167"/>
      <c r="D192" s="168"/>
      <c r="E192" s="169"/>
      <c r="F192" s="175"/>
      <c r="G192" s="143"/>
      <c r="H192" s="175"/>
      <c r="I192" s="167"/>
      <c r="J192" s="126"/>
      <c r="K192" s="175"/>
      <c r="L192" s="167"/>
      <c r="M192" s="175"/>
      <c r="N192" s="167"/>
      <c r="O192" s="175"/>
      <c r="P192" s="167"/>
      <c r="Q192" s="170">
        <f>IF(COUNTIF($B$8:$B207,$B192)=1,1,0)</f>
        <v>0</v>
      </c>
      <c r="R192" s="171">
        <f>IFERROR((COUNTIF($A:$A,'Client Level Data'!$A192))/COUNTIF($B:$B,$B192),0)</f>
        <v>0</v>
      </c>
      <c r="S192" s="131" t="str">
        <f>IF(SUMIFS($R:$R,$J:$J,"Yes",$B:$B,'Client Level Data'!$B192)&gt;0,"Chronic Flag","")</f>
        <v/>
      </c>
      <c r="T192" s="171" t="str">
        <f>IF(SUMIFS($R:$R,$G:$G,"Yes",$B:$B,'Client Level Data'!$B192)&gt;0,"PY Flag","")</f>
        <v/>
      </c>
      <c r="U192" s="171" t="str">
        <f>IF(SUMIFS($R:$R,$D:$D,"&lt;18",$G:$G,"Yes",$B:$B,'Client Level Data'!$B192)&gt;0,"PY &lt;18",IF(SUMIFS($R:$R,$D:$D,"&gt;17",$D:$D,"&lt;25",$G:$G,"Yes",$B:$B,'Client Level Data'!$B192)&gt;0,"PY &gt;17 &lt;25",""))</f>
        <v/>
      </c>
      <c r="V192" s="172">
        <f>IF('Client Level Data'!$K192="Yes",1,0)+IF('Client Level Data'!$L192="Yes",1,0)+IF('Client Level Data'!$M192="Yes",1,0)</f>
        <v>0</v>
      </c>
      <c r="W192" s="172" t="str">
        <f>IF(SUMIFS($R:$R,$F:$F,"Yes",$B:$B,'Client Level Data'!$B192)&gt;0,"Vet Flag","")</f>
        <v/>
      </c>
      <c r="X192" s="133">
        <f t="shared" si="55"/>
        <v>0</v>
      </c>
      <c r="Y192" s="133" t="e">
        <f t="shared" si="56"/>
        <v>#N/A</v>
      </c>
      <c r="Z192" s="133" t="e">
        <f t="shared" si="57"/>
        <v>#N/A</v>
      </c>
      <c r="AA192" s="133">
        <f t="shared" si="58"/>
        <v>0</v>
      </c>
      <c r="AB192" s="133" t="str">
        <f>IF(SUMIFS($R:$R,$H:$H,"Yes",$B:$B,'Client Level Data'!$B192)&gt;0,"CPY Flag","")</f>
        <v/>
      </c>
      <c r="AC192" s="133" t="str">
        <f t="shared" si="59"/>
        <v>N/A</v>
      </c>
      <c r="AD192" s="133">
        <f t="shared" si="60"/>
        <v>200</v>
      </c>
      <c r="AE192" s="133" t="str">
        <f t="shared" si="61"/>
        <v>Child</v>
      </c>
      <c r="AF192" s="133">
        <f t="shared" si="62"/>
        <v>200</v>
      </c>
      <c r="AG192" s="133" t="str">
        <f t="shared" si="63"/>
        <v>True</v>
      </c>
      <c r="AH192" s="133">
        <f t="shared" si="64"/>
        <v>200</v>
      </c>
      <c r="AI192" s="133" t="str">
        <f t="shared" si="65"/>
        <v>False</v>
      </c>
    </row>
    <row r="193" spans="1:35" ht="15.75" customHeight="1" x14ac:dyDescent="0.25">
      <c r="A193" s="192">
        <v>286</v>
      </c>
      <c r="B193" s="115"/>
      <c r="C193" s="177"/>
      <c r="D193" s="122"/>
      <c r="E193" s="184"/>
      <c r="F193" s="115"/>
      <c r="G193" s="185"/>
      <c r="H193" s="115"/>
      <c r="I193" s="177"/>
      <c r="J193" s="179"/>
      <c r="K193" s="115"/>
      <c r="L193" s="185"/>
      <c r="M193" s="115"/>
      <c r="N193" s="185"/>
      <c r="O193" s="115"/>
      <c r="P193" s="177"/>
      <c r="Q193" s="166">
        <f>IF(COUNTIF($B$8:$B207,$B193)=1,1,0)</f>
        <v>0</v>
      </c>
      <c r="R193" s="165">
        <f>IFERROR((COUNTIF($A:$A,'Client Level Data'!$A193))/COUNTIF($B:$B,$B193),0)</f>
        <v>0</v>
      </c>
      <c r="S193" s="22" t="str">
        <f>IF(SUMIFS($R:$R,$J:$J,"Yes",$B:$B,'Client Level Data'!$B193)&gt;0,"Chronic Flag","")</f>
        <v/>
      </c>
      <c r="T193" s="165" t="str">
        <f>IF(SUMIFS($R:$R,$G:$G,"Yes",$B:$B,'Client Level Data'!$B193)&gt;0,"PY Flag","")</f>
        <v/>
      </c>
      <c r="U193" s="165" t="str">
        <f>IF(SUMIFS($R:$R,$D:$D,"&lt;18",$G:$G,"Yes",$B:$B,'Client Level Data'!$B193)&gt;0,"PY &lt;18",IF(SUMIFS($R:$R,$D:$D,"&gt;17",$D:$D,"&lt;25",$G:$G,"Yes",$B:$B,'Client Level Data'!$B193)&gt;0,"PY &gt;17 &lt;25",""))</f>
        <v/>
      </c>
      <c r="V193" s="1">
        <f>IF('Client Level Data'!$K193="Yes",1,0)+IF('Client Level Data'!$L193="Yes",1,0)+IF('Client Level Data'!$M193="Yes",1,0)</f>
        <v>0</v>
      </c>
      <c r="W193" s="1" t="str">
        <f>IF(SUMIFS($R:$R,$F:$F,"Yes",$B:$B,'Client Level Data'!$B193)&gt;0,"Vet Flag","")</f>
        <v/>
      </c>
      <c r="X193" s="12">
        <f t="shared" si="55"/>
        <v>0</v>
      </c>
      <c r="Y193" s="12" t="e">
        <f t="shared" si="56"/>
        <v>#N/A</v>
      </c>
      <c r="Z193" s="12" t="e">
        <f t="shared" si="57"/>
        <v>#N/A</v>
      </c>
      <c r="AA193" s="12">
        <f t="shared" si="58"/>
        <v>0</v>
      </c>
      <c r="AB193" s="12" t="str">
        <f>IF(SUMIFS($R:$R,$H:$H,"Yes",$B:$B,'Client Level Data'!$B193)&gt;0,"CPY Flag","")</f>
        <v/>
      </c>
      <c r="AC193" s="12" t="str">
        <f t="shared" si="59"/>
        <v>N/A</v>
      </c>
      <c r="AD193" s="12">
        <f t="shared" si="60"/>
        <v>200</v>
      </c>
      <c r="AE193" s="12" t="str">
        <f t="shared" si="61"/>
        <v>Child</v>
      </c>
      <c r="AF193" s="12">
        <f t="shared" si="62"/>
        <v>200</v>
      </c>
      <c r="AG193" s="12" t="str">
        <f t="shared" si="63"/>
        <v>True</v>
      </c>
      <c r="AH193" s="12">
        <f t="shared" si="64"/>
        <v>200</v>
      </c>
      <c r="AI193" s="12" t="str">
        <f t="shared" si="65"/>
        <v>False</v>
      </c>
    </row>
    <row r="194" spans="1:35" s="133" customFormat="1" ht="15.75" customHeight="1" x14ac:dyDescent="0.25">
      <c r="A194" s="193">
        <v>287</v>
      </c>
      <c r="B194" s="175"/>
      <c r="C194" s="167"/>
      <c r="D194" s="168"/>
      <c r="E194" s="169"/>
      <c r="F194" s="175"/>
      <c r="G194" s="143"/>
      <c r="H194" s="175"/>
      <c r="I194" s="167"/>
      <c r="J194" s="126"/>
      <c r="K194" s="175"/>
      <c r="L194" s="167"/>
      <c r="M194" s="175"/>
      <c r="N194" s="167"/>
      <c r="O194" s="175"/>
      <c r="P194" s="167"/>
      <c r="Q194" s="170">
        <f>IF(COUNTIF($B$8:$B207,$B194)=1,1,0)</f>
        <v>0</v>
      </c>
      <c r="R194" s="171">
        <f>IFERROR((COUNTIF($A:$A,'Client Level Data'!$A194))/COUNTIF($B:$B,$B194),0)</f>
        <v>0</v>
      </c>
      <c r="S194" s="131" t="str">
        <f>IF(SUMIFS($R:$R,$J:$J,"Yes",$B:$B,'Client Level Data'!$B194)&gt;0,"Chronic Flag","")</f>
        <v/>
      </c>
      <c r="T194" s="171" t="str">
        <f>IF(SUMIFS($R:$R,$G:$G,"Yes",$B:$B,'Client Level Data'!$B194)&gt;0,"PY Flag","")</f>
        <v/>
      </c>
      <c r="U194" s="171" t="str">
        <f>IF(SUMIFS($R:$R,$D:$D,"&lt;18",$G:$G,"Yes",$B:$B,'Client Level Data'!$B194)&gt;0,"PY &lt;18",IF(SUMIFS($R:$R,$D:$D,"&gt;17",$D:$D,"&lt;25",$G:$G,"Yes",$B:$B,'Client Level Data'!$B194)&gt;0,"PY &gt;17 &lt;25",""))</f>
        <v/>
      </c>
      <c r="V194" s="172">
        <f>IF('Client Level Data'!$K194="Yes",1,0)+IF('Client Level Data'!$L194="Yes",1,0)+IF('Client Level Data'!$M194="Yes",1,0)</f>
        <v>0</v>
      </c>
      <c r="W194" s="172" t="str">
        <f>IF(SUMIFS($R:$R,$F:$F,"Yes",$B:$B,'Client Level Data'!$B194)&gt;0,"Vet Flag","")</f>
        <v/>
      </c>
      <c r="X194" s="133">
        <f t="shared" si="55"/>
        <v>0</v>
      </c>
      <c r="Y194" s="133" t="e">
        <f t="shared" si="56"/>
        <v>#N/A</v>
      </c>
      <c r="Z194" s="133" t="e">
        <f t="shared" si="57"/>
        <v>#N/A</v>
      </c>
      <c r="AA194" s="133">
        <f t="shared" si="58"/>
        <v>0</v>
      </c>
      <c r="AB194" s="133" t="str">
        <f>IF(SUMIFS($R:$R,$H:$H,"Yes",$B:$B,'Client Level Data'!$B194)&gt;0,"CPY Flag","")</f>
        <v/>
      </c>
      <c r="AC194" s="133" t="str">
        <f t="shared" si="59"/>
        <v>N/A</v>
      </c>
      <c r="AD194" s="133">
        <f t="shared" si="60"/>
        <v>200</v>
      </c>
      <c r="AE194" s="133" t="str">
        <f t="shared" si="61"/>
        <v>Child</v>
      </c>
      <c r="AF194" s="133">
        <f t="shared" si="62"/>
        <v>200</v>
      </c>
      <c r="AG194" s="133" t="str">
        <f t="shared" si="63"/>
        <v>True</v>
      </c>
      <c r="AH194" s="133">
        <f t="shared" si="64"/>
        <v>200</v>
      </c>
      <c r="AI194" s="133" t="str">
        <f t="shared" si="65"/>
        <v>False</v>
      </c>
    </row>
    <row r="195" spans="1:35" ht="15.75" customHeight="1" x14ac:dyDescent="0.25">
      <c r="A195" s="192">
        <v>288</v>
      </c>
      <c r="B195" s="115"/>
      <c r="C195" s="177"/>
      <c r="D195" s="122"/>
      <c r="E195" s="184"/>
      <c r="F195" s="115"/>
      <c r="G195" s="185"/>
      <c r="H195" s="115"/>
      <c r="I195" s="177"/>
      <c r="J195" s="179"/>
      <c r="K195" s="115"/>
      <c r="L195" s="185"/>
      <c r="M195" s="115"/>
      <c r="N195" s="185"/>
      <c r="O195" s="115"/>
      <c r="P195" s="177"/>
      <c r="Q195" s="166">
        <f>IF(COUNTIF($B$8:$B207,$B195)=1,1,0)</f>
        <v>0</v>
      </c>
      <c r="R195" s="165">
        <f>IFERROR((COUNTIF($A:$A,'Client Level Data'!$A195))/COUNTIF($B:$B,$B195),0)</f>
        <v>0</v>
      </c>
      <c r="S195" s="22" t="str">
        <f>IF(SUMIFS($R:$R,$J:$J,"Yes",$B:$B,'Client Level Data'!$B195)&gt;0,"Chronic Flag","")</f>
        <v/>
      </c>
      <c r="T195" s="165" t="str">
        <f>IF(SUMIFS($R:$R,$G:$G,"Yes",$B:$B,'Client Level Data'!$B195)&gt;0,"PY Flag","")</f>
        <v/>
      </c>
      <c r="U195" s="165" t="str">
        <f>IF(SUMIFS($R:$R,$D:$D,"&lt;18",$G:$G,"Yes",$B:$B,'Client Level Data'!$B195)&gt;0,"PY &lt;18",IF(SUMIFS($R:$R,$D:$D,"&gt;17",$D:$D,"&lt;25",$G:$G,"Yes",$B:$B,'Client Level Data'!$B195)&gt;0,"PY &gt;17 &lt;25",""))</f>
        <v/>
      </c>
      <c r="V195" s="1">
        <f>IF('Client Level Data'!$K195="Yes",1,0)+IF('Client Level Data'!$L195="Yes",1,0)+IF('Client Level Data'!$M195="Yes",1,0)</f>
        <v>0</v>
      </c>
      <c r="W195" s="1" t="str">
        <f>IF(SUMIFS($R:$R,$F:$F,"Yes",$B:$B,'Client Level Data'!$B195)&gt;0,"Vet Flag","")</f>
        <v/>
      </c>
      <c r="X195" s="12">
        <f t="shared" si="55"/>
        <v>0</v>
      </c>
      <c r="Y195" s="12" t="e">
        <f t="shared" si="56"/>
        <v>#N/A</v>
      </c>
      <c r="Z195" s="12" t="e">
        <f t="shared" si="57"/>
        <v>#N/A</v>
      </c>
      <c r="AA195" s="12">
        <f t="shared" si="58"/>
        <v>0</v>
      </c>
      <c r="AB195" s="12" t="str">
        <f>IF(SUMIFS($R:$R,$H:$H,"Yes",$B:$B,'Client Level Data'!$B195)&gt;0,"CPY Flag","")</f>
        <v/>
      </c>
      <c r="AC195" s="12" t="str">
        <f t="shared" si="59"/>
        <v>N/A</v>
      </c>
      <c r="AD195" s="12">
        <f t="shared" si="60"/>
        <v>200</v>
      </c>
      <c r="AE195" s="12" t="str">
        <f t="shared" si="61"/>
        <v>Child</v>
      </c>
      <c r="AF195" s="12">
        <f t="shared" si="62"/>
        <v>200</v>
      </c>
      <c r="AG195" s="12" t="str">
        <f t="shared" si="63"/>
        <v>True</v>
      </c>
      <c r="AH195" s="12">
        <f t="shared" si="64"/>
        <v>200</v>
      </c>
      <c r="AI195" s="12" t="str">
        <f t="shared" si="65"/>
        <v>False</v>
      </c>
    </row>
    <row r="196" spans="1:35" s="133" customFormat="1" ht="15.75" customHeight="1" x14ac:dyDescent="0.25">
      <c r="A196" s="193">
        <v>289</v>
      </c>
      <c r="B196" s="175"/>
      <c r="C196" s="167"/>
      <c r="D196" s="168"/>
      <c r="E196" s="169"/>
      <c r="F196" s="175"/>
      <c r="G196" s="143"/>
      <c r="H196" s="175"/>
      <c r="I196" s="167"/>
      <c r="J196" s="126"/>
      <c r="K196" s="175"/>
      <c r="L196" s="167"/>
      <c r="M196" s="175"/>
      <c r="N196" s="167"/>
      <c r="O196" s="175"/>
      <c r="P196" s="167"/>
      <c r="Q196" s="170">
        <f>IF(COUNTIF($B$8:$B207,$B196)=1,1,0)</f>
        <v>0</v>
      </c>
      <c r="R196" s="171">
        <f>IFERROR((COUNTIF($A:$A,'Client Level Data'!$A196))/COUNTIF($B:$B,$B196),0)</f>
        <v>0</v>
      </c>
      <c r="S196" s="131" t="str">
        <f>IF(SUMIFS($R:$R,$J:$J,"Yes",$B:$B,'Client Level Data'!$B196)&gt;0,"Chronic Flag","")</f>
        <v/>
      </c>
      <c r="T196" s="171" t="str">
        <f>IF(SUMIFS($R:$R,$G:$G,"Yes",$B:$B,'Client Level Data'!$B196)&gt;0,"PY Flag","")</f>
        <v/>
      </c>
      <c r="U196" s="171" t="str">
        <f>IF(SUMIFS($R:$R,$D:$D,"&lt;18",$G:$G,"Yes",$B:$B,'Client Level Data'!$B196)&gt;0,"PY &lt;18",IF(SUMIFS($R:$R,$D:$D,"&gt;17",$D:$D,"&lt;25",$G:$G,"Yes",$B:$B,'Client Level Data'!$B196)&gt;0,"PY &gt;17 &lt;25",""))</f>
        <v/>
      </c>
      <c r="V196" s="172">
        <f>IF('Client Level Data'!$K196="Yes",1,0)+IF('Client Level Data'!$L196="Yes",1,0)+IF('Client Level Data'!$M196="Yes",1,0)</f>
        <v>0</v>
      </c>
      <c r="W196" s="172" t="str">
        <f>IF(SUMIFS($R:$R,$F:$F,"Yes",$B:$B,'Client Level Data'!$B196)&gt;0,"Vet Flag","")</f>
        <v/>
      </c>
      <c r="X196" s="133">
        <f t="shared" si="55"/>
        <v>0</v>
      </c>
      <c r="Y196" s="133" t="e">
        <f t="shared" si="56"/>
        <v>#N/A</v>
      </c>
      <c r="Z196" s="133" t="e">
        <f t="shared" si="57"/>
        <v>#N/A</v>
      </c>
      <c r="AA196" s="133">
        <f t="shared" si="58"/>
        <v>0</v>
      </c>
      <c r="AB196" s="133" t="str">
        <f>IF(SUMIFS($R:$R,$H:$H,"Yes",$B:$B,'Client Level Data'!$B196)&gt;0,"CPY Flag","")</f>
        <v/>
      </c>
      <c r="AC196" s="133" t="str">
        <f t="shared" si="59"/>
        <v>N/A</v>
      </c>
      <c r="AD196" s="133">
        <f t="shared" si="60"/>
        <v>200</v>
      </c>
      <c r="AE196" s="133" t="str">
        <f t="shared" si="61"/>
        <v>Child</v>
      </c>
      <c r="AF196" s="133">
        <f t="shared" si="62"/>
        <v>200</v>
      </c>
      <c r="AG196" s="133" t="str">
        <f t="shared" si="63"/>
        <v>True</v>
      </c>
      <c r="AH196" s="133">
        <f t="shared" si="64"/>
        <v>200</v>
      </c>
      <c r="AI196" s="133" t="str">
        <f t="shared" si="65"/>
        <v>False</v>
      </c>
    </row>
    <row r="197" spans="1:35" ht="15.75" customHeight="1" x14ac:dyDescent="0.25">
      <c r="A197" s="192">
        <v>290</v>
      </c>
      <c r="B197" s="115"/>
      <c r="C197" s="177"/>
      <c r="D197" s="122"/>
      <c r="E197" s="184"/>
      <c r="F197" s="115"/>
      <c r="G197" s="185"/>
      <c r="H197" s="115"/>
      <c r="I197" s="177"/>
      <c r="J197" s="179"/>
      <c r="K197" s="115"/>
      <c r="L197" s="185"/>
      <c r="M197" s="115"/>
      <c r="N197" s="185"/>
      <c r="O197" s="115"/>
      <c r="P197" s="177"/>
      <c r="Q197" s="166">
        <f>IF(COUNTIF($B$8:$B207,$B197)=1,1,0)</f>
        <v>0</v>
      </c>
      <c r="R197" s="165">
        <f>IFERROR((COUNTIF($A:$A,'Client Level Data'!$A197))/COUNTIF($B:$B,$B197),0)</f>
        <v>0</v>
      </c>
      <c r="S197" s="22" t="str">
        <f>IF(SUMIFS($R:$R,$J:$J,"Yes",$B:$B,'Client Level Data'!$B197)&gt;0,"Chronic Flag","")</f>
        <v/>
      </c>
      <c r="T197" s="165" t="str">
        <f>IF(SUMIFS($R:$R,$G:$G,"Yes",$B:$B,'Client Level Data'!$B197)&gt;0,"PY Flag","")</f>
        <v/>
      </c>
      <c r="U197" s="165" t="str">
        <f>IF(SUMIFS($R:$R,$D:$D,"&lt;18",$G:$G,"Yes",$B:$B,'Client Level Data'!$B197)&gt;0,"PY &lt;18",IF(SUMIFS($R:$R,$D:$D,"&gt;17",$D:$D,"&lt;25",$G:$G,"Yes",$B:$B,'Client Level Data'!$B197)&gt;0,"PY &gt;17 &lt;25",""))</f>
        <v/>
      </c>
      <c r="V197" s="1">
        <f>IF('Client Level Data'!$K197="Yes",1,0)+IF('Client Level Data'!$L197="Yes",1,0)+IF('Client Level Data'!$M197="Yes",1,0)</f>
        <v>0</v>
      </c>
      <c r="W197" s="1" t="str">
        <f>IF(SUMIFS($R:$R,$F:$F,"Yes",$B:$B,'Client Level Data'!$B197)&gt;0,"Vet Flag","")</f>
        <v/>
      </c>
      <c r="X197" s="12">
        <f t="shared" si="55"/>
        <v>0</v>
      </c>
      <c r="Y197" s="12" t="e">
        <f t="shared" si="56"/>
        <v>#N/A</v>
      </c>
      <c r="Z197" s="12" t="e">
        <f t="shared" si="57"/>
        <v>#N/A</v>
      </c>
      <c r="AA197" s="12">
        <f t="shared" si="58"/>
        <v>0</v>
      </c>
      <c r="AB197" s="12" t="str">
        <f>IF(SUMIFS($R:$R,$H:$H,"Yes",$B:$B,'Client Level Data'!$B197)&gt;0,"CPY Flag","")</f>
        <v/>
      </c>
      <c r="AC197" s="12" t="str">
        <f t="shared" si="59"/>
        <v>N/A</v>
      </c>
      <c r="AD197" s="12">
        <f t="shared" si="60"/>
        <v>200</v>
      </c>
      <c r="AE197" s="12" t="str">
        <f t="shared" si="61"/>
        <v>Child</v>
      </c>
      <c r="AF197" s="12">
        <f t="shared" si="62"/>
        <v>200</v>
      </c>
      <c r="AG197" s="12" t="str">
        <f t="shared" si="63"/>
        <v>True</v>
      </c>
      <c r="AH197" s="12">
        <f t="shared" si="64"/>
        <v>200</v>
      </c>
      <c r="AI197" s="12" t="str">
        <f t="shared" si="65"/>
        <v>False</v>
      </c>
    </row>
    <row r="198" spans="1:35" s="133" customFormat="1" ht="15.75" customHeight="1" x14ac:dyDescent="0.25">
      <c r="A198" s="193">
        <v>291</v>
      </c>
      <c r="B198" s="175"/>
      <c r="C198" s="167"/>
      <c r="D198" s="168"/>
      <c r="E198" s="169"/>
      <c r="F198" s="175"/>
      <c r="G198" s="143"/>
      <c r="H198" s="175"/>
      <c r="I198" s="167"/>
      <c r="J198" s="126"/>
      <c r="K198" s="175"/>
      <c r="L198" s="167"/>
      <c r="M198" s="175"/>
      <c r="N198" s="167"/>
      <c r="O198" s="175"/>
      <c r="P198" s="167"/>
      <c r="Q198" s="170">
        <f>IF(COUNTIF($B$8:$B207,$B198)=1,1,0)</f>
        <v>0</v>
      </c>
      <c r="R198" s="171">
        <f>IFERROR((COUNTIF($A:$A,'Client Level Data'!$A198))/COUNTIF($B:$B,$B198),0)</f>
        <v>0</v>
      </c>
      <c r="S198" s="131" t="str">
        <f>IF(SUMIFS($R:$R,$J:$J,"Yes",$B:$B,'Client Level Data'!$B198)&gt;0,"Chronic Flag","")</f>
        <v/>
      </c>
      <c r="T198" s="171" t="str">
        <f>IF(SUMIFS($R:$R,$G:$G,"Yes",$B:$B,'Client Level Data'!$B198)&gt;0,"PY Flag","")</f>
        <v/>
      </c>
      <c r="U198" s="171" t="str">
        <f>IF(SUMIFS($R:$R,$D:$D,"&lt;18",$G:$G,"Yes",$B:$B,'Client Level Data'!$B198)&gt;0,"PY &lt;18",IF(SUMIFS($R:$R,$D:$D,"&gt;17",$D:$D,"&lt;25",$G:$G,"Yes",$B:$B,'Client Level Data'!$B198)&gt;0,"PY &gt;17 &lt;25",""))</f>
        <v/>
      </c>
      <c r="V198" s="172">
        <f>IF('Client Level Data'!$K198="Yes",1,0)+IF('Client Level Data'!$L198="Yes",1,0)+IF('Client Level Data'!$M198="Yes",1,0)</f>
        <v>0</v>
      </c>
      <c r="W198" s="172" t="str">
        <f>IF(SUMIFS($R:$R,$F:$F,"Yes",$B:$B,'Client Level Data'!$B198)&gt;0,"Vet Flag","")</f>
        <v/>
      </c>
      <c r="X198" s="133">
        <f t="shared" si="55"/>
        <v>0</v>
      </c>
      <c r="Y198" s="133" t="e">
        <f t="shared" si="56"/>
        <v>#N/A</v>
      </c>
      <c r="Z198" s="133" t="e">
        <f t="shared" si="57"/>
        <v>#N/A</v>
      </c>
      <c r="AA198" s="133">
        <f t="shared" si="58"/>
        <v>0</v>
      </c>
      <c r="AB198" s="133" t="str">
        <f>IF(SUMIFS($R:$R,$H:$H,"Yes",$B:$B,'Client Level Data'!$B198)&gt;0,"CPY Flag","")</f>
        <v/>
      </c>
      <c r="AC198" s="133" t="str">
        <f t="shared" si="59"/>
        <v>N/A</v>
      </c>
      <c r="AD198" s="133">
        <f t="shared" si="60"/>
        <v>200</v>
      </c>
      <c r="AE198" s="133" t="str">
        <f t="shared" si="61"/>
        <v>Child</v>
      </c>
      <c r="AF198" s="133">
        <f t="shared" si="62"/>
        <v>200</v>
      </c>
      <c r="AG198" s="133" t="str">
        <f t="shared" si="63"/>
        <v>True</v>
      </c>
      <c r="AH198" s="133">
        <f t="shared" si="64"/>
        <v>200</v>
      </c>
      <c r="AI198" s="133" t="str">
        <f t="shared" si="65"/>
        <v>False</v>
      </c>
    </row>
    <row r="199" spans="1:35" ht="15.75" customHeight="1" x14ac:dyDescent="0.25">
      <c r="A199" s="192">
        <v>292</v>
      </c>
      <c r="B199" s="115"/>
      <c r="C199" s="177"/>
      <c r="D199" s="122"/>
      <c r="E199" s="184"/>
      <c r="F199" s="115"/>
      <c r="G199" s="185"/>
      <c r="H199" s="115"/>
      <c r="I199" s="177"/>
      <c r="J199" s="179"/>
      <c r="K199" s="115"/>
      <c r="L199" s="110"/>
      <c r="M199" s="115"/>
      <c r="N199" s="185"/>
      <c r="O199" s="115"/>
      <c r="P199" s="177"/>
      <c r="Q199" s="166">
        <f>IF(COUNTIF($B$8:$B207,$B199)=1,1,0)</f>
        <v>0</v>
      </c>
      <c r="R199" s="165">
        <f>IFERROR((COUNTIF($A:$A,'Client Level Data'!$A199))/COUNTIF($B:$B,$B199),0)</f>
        <v>0</v>
      </c>
      <c r="S199" s="22" t="str">
        <f>IF(SUMIFS($R:$R,$J:$J,"Yes",$B:$B,'Client Level Data'!$B199)&gt;0,"Chronic Flag","")</f>
        <v/>
      </c>
      <c r="T199" s="165" t="str">
        <f>IF(SUMIFS($R:$R,$G:$G,"Yes",$B:$B,'Client Level Data'!$B199)&gt;0,"PY Flag","")</f>
        <v/>
      </c>
      <c r="U199" s="165" t="str">
        <f>IF(SUMIFS($R:$R,$D:$D,"&lt;18",$G:$G,"Yes",$B:$B,'Client Level Data'!$B199)&gt;0,"PY &lt;18",IF(SUMIFS($R:$R,$D:$D,"&gt;17",$D:$D,"&lt;25",$G:$G,"Yes",$B:$B,'Client Level Data'!$B199)&gt;0,"PY &gt;17 &lt;25",""))</f>
        <v/>
      </c>
      <c r="V199" s="1">
        <f>IF('Client Level Data'!$K199="Yes",1,0)+IF('Client Level Data'!$L199="Yes",1,0)+IF('Client Level Data'!$M199="Yes",1,0)</f>
        <v>0</v>
      </c>
      <c r="W199" s="1" t="str">
        <f>IF(SUMIFS($R:$R,$F:$F,"Yes",$B:$B,'Client Level Data'!$B199)&gt;0,"Vet Flag","")</f>
        <v/>
      </c>
      <c r="X199" s="12">
        <f t="shared" si="55"/>
        <v>0</v>
      </c>
      <c r="Y199" s="12" t="e">
        <f t="shared" si="56"/>
        <v>#N/A</v>
      </c>
      <c r="Z199" s="12" t="e">
        <f t="shared" si="57"/>
        <v>#N/A</v>
      </c>
      <c r="AA199" s="12">
        <f t="shared" si="58"/>
        <v>0</v>
      </c>
      <c r="AB199" s="12" t="str">
        <f>IF(SUMIFS($R:$R,$H:$H,"Yes",$B:$B,'Client Level Data'!$B199)&gt;0,"CPY Flag","")</f>
        <v/>
      </c>
      <c r="AC199" s="12" t="str">
        <f t="shared" si="59"/>
        <v>N/A</v>
      </c>
      <c r="AD199" s="12">
        <f t="shared" si="60"/>
        <v>200</v>
      </c>
      <c r="AE199" s="12" t="str">
        <f t="shared" si="61"/>
        <v>Child</v>
      </c>
      <c r="AF199" s="12">
        <f t="shared" si="62"/>
        <v>200</v>
      </c>
      <c r="AG199" s="12" t="str">
        <f t="shared" si="63"/>
        <v>True</v>
      </c>
      <c r="AH199" s="12">
        <f t="shared" si="64"/>
        <v>200</v>
      </c>
      <c r="AI199" s="12" t="str">
        <f t="shared" si="65"/>
        <v>False</v>
      </c>
    </row>
    <row r="200" spans="1:35" s="133" customFormat="1" ht="15.75" customHeight="1" x14ac:dyDescent="0.25">
      <c r="A200" s="193">
        <v>293</v>
      </c>
      <c r="B200" s="175"/>
      <c r="C200" s="167"/>
      <c r="D200" s="168"/>
      <c r="E200" s="169"/>
      <c r="F200" s="175"/>
      <c r="G200" s="143"/>
      <c r="H200" s="175"/>
      <c r="I200" s="167"/>
      <c r="J200" s="126"/>
      <c r="K200" s="175"/>
      <c r="L200" s="167"/>
      <c r="M200" s="175"/>
      <c r="N200" s="167"/>
      <c r="O200" s="175"/>
      <c r="P200" s="167"/>
      <c r="Q200" s="170">
        <f>IF(COUNTIF($B$8:$B207,$B200)=1,1,0)</f>
        <v>0</v>
      </c>
      <c r="R200" s="171">
        <f>IFERROR((COUNTIF($A:$A,'Client Level Data'!$A200))/COUNTIF($B:$B,$B200),0)</f>
        <v>0</v>
      </c>
      <c r="S200" s="131" t="str">
        <f>IF(SUMIFS($R:$R,$J:$J,"Yes",$B:$B,'Client Level Data'!$B200)&gt;0,"Chronic Flag","")</f>
        <v/>
      </c>
      <c r="T200" s="171" t="str">
        <f>IF(SUMIFS($R:$R,$G:$G,"Yes",$B:$B,'Client Level Data'!$B200)&gt;0,"PY Flag","")</f>
        <v/>
      </c>
      <c r="U200" s="171" t="str">
        <f>IF(SUMIFS($R:$R,$D:$D,"&lt;18",$G:$G,"Yes",$B:$B,'Client Level Data'!$B200)&gt;0,"PY &lt;18",IF(SUMIFS($R:$R,$D:$D,"&gt;17",$D:$D,"&lt;25",$G:$G,"Yes",$B:$B,'Client Level Data'!$B200)&gt;0,"PY &gt;17 &lt;25",""))</f>
        <v/>
      </c>
      <c r="V200" s="172">
        <f>IF('Client Level Data'!$K200="Yes",1,0)+IF('Client Level Data'!$L200="Yes",1,0)+IF('Client Level Data'!$M200="Yes",1,0)</f>
        <v>0</v>
      </c>
      <c r="W200" s="172" t="str">
        <f>IF(SUMIFS($R:$R,$F:$F,"Yes",$B:$B,'Client Level Data'!$B200)&gt;0,"Vet Flag","")</f>
        <v/>
      </c>
      <c r="X200" s="133">
        <f t="shared" ref="X200:X207" si="66">IF(R200&lt;1, B200, "Single")</f>
        <v>0</v>
      </c>
      <c r="Y200" s="133" t="e">
        <f t="shared" ref="Y200:Y207" si="67">IF(X200="Single", "Single", INDEX(C:C, MATCH(X200, B:B, 0)))</f>
        <v>#N/A</v>
      </c>
      <c r="Z200" s="133" t="e">
        <f t="shared" ref="Z200:Z207" si="68">IF(AND(NOT(ISBLANK(C200)), C200=Y200, R200&lt;1), "Yes", IF(Y200="Single", "N/A", "No"))</f>
        <v>#N/A</v>
      </c>
      <c r="AA200" s="133">
        <f t="shared" ref="AA200:AA207" si="69">COUNTIFS(X:X, X200, Z:Z, "No")</f>
        <v>0</v>
      </c>
      <c r="AB200" s="133" t="str">
        <f>IF(SUMIFS($R:$R,$H:$H,"Yes",$B:$B,'Client Level Data'!$B200)&gt;0,"CPY Flag","")</f>
        <v/>
      </c>
      <c r="AC200" s="133" t="str">
        <f t="shared" ref="AC200:AC207" si="70">IF(AND(T200="PY Flag",AB200="CPY Flag"),"Yes",IF(AND(T200="",AB200=""),"N/A","No"))</f>
        <v>N/A</v>
      </c>
      <c r="AD200" s="133">
        <f t="shared" ref="AD200:AD207" si="71">COUNTIFS(X:X, X200)</f>
        <v>200</v>
      </c>
      <c r="AE200" s="133" t="str">
        <f t="shared" ref="AE200:AE207" si="72">IF(D200&lt;18,"Child",IF(AND(D200&gt;=18,D200&lt;25),"Youth","Not Youth"))</f>
        <v>Child</v>
      </c>
      <c r="AF200" s="133">
        <f t="shared" ref="AF200:AF207" si="73">COUNTIFS(X:X, X200, AE:AE, "Youth")+COUNTIFS(X:X, X200, AE:AE, "Child")</f>
        <v>200</v>
      </c>
      <c r="AG200" s="133" t="str">
        <f t="shared" ref="AG200:AG207" si="74">IF(AF200=AD200, "True", "False")</f>
        <v>True</v>
      </c>
      <c r="AH200" s="133">
        <f t="shared" ref="AH200:AH207" si="75">COUNTIFS(X:X, X200, AE:AE, "Child")</f>
        <v>200</v>
      </c>
      <c r="AI200" s="133" t="str">
        <f t="shared" ref="AI200:AI207" si="76">IF(AND(C200="Adults &amp; Children", AH200&gt;0), "True", IF(OR(C200="Children Only", C200="Adults Only"), "N/A", "False"))</f>
        <v>False</v>
      </c>
    </row>
    <row r="201" spans="1:35" ht="15.75" customHeight="1" x14ac:dyDescent="0.25">
      <c r="A201" s="192">
        <v>294</v>
      </c>
      <c r="B201" s="115"/>
      <c r="C201" s="177"/>
      <c r="D201" s="122"/>
      <c r="E201" s="184"/>
      <c r="F201" s="115"/>
      <c r="G201" s="185"/>
      <c r="H201" s="115"/>
      <c r="I201" s="177"/>
      <c r="J201" s="179"/>
      <c r="K201" s="115"/>
      <c r="L201" s="185"/>
      <c r="M201" s="115"/>
      <c r="N201" s="185"/>
      <c r="O201" s="115"/>
      <c r="P201" s="177"/>
      <c r="Q201" s="166">
        <f>IF(COUNTIF($B$8:$B207,$B201)=1,1,0)</f>
        <v>0</v>
      </c>
      <c r="R201" s="165">
        <f>IFERROR((COUNTIF($A:$A,'Client Level Data'!$A201))/COUNTIF($B:$B,$B201),0)</f>
        <v>0</v>
      </c>
      <c r="S201" s="22" t="str">
        <f>IF(SUMIFS($R:$R,$J:$J,"Yes",$B:$B,'Client Level Data'!$B201)&gt;0,"Chronic Flag","")</f>
        <v/>
      </c>
      <c r="T201" s="165" t="str">
        <f>IF(SUMIFS($R:$R,$G:$G,"Yes",$B:$B,'Client Level Data'!$B201)&gt;0,"PY Flag","")</f>
        <v/>
      </c>
      <c r="U201" s="165" t="str">
        <f>IF(SUMIFS($R:$R,$D:$D,"&lt;18",$G:$G,"Yes",$B:$B,'Client Level Data'!$B201)&gt;0,"PY &lt;18",IF(SUMIFS($R:$R,$D:$D,"&gt;17",$D:$D,"&lt;25",$G:$G,"Yes",$B:$B,'Client Level Data'!$B201)&gt;0,"PY &gt;17 &lt;25",""))</f>
        <v/>
      </c>
      <c r="V201" s="1">
        <f>IF('Client Level Data'!$K201="Yes",1,0)+IF('Client Level Data'!$L201="Yes",1,0)+IF('Client Level Data'!$M201="Yes",1,0)</f>
        <v>0</v>
      </c>
      <c r="W201" s="1" t="str">
        <f>IF(SUMIFS($R:$R,$F:$F,"Yes",$B:$B,'Client Level Data'!$B201)&gt;0,"Vet Flag","")</f>
        <v/>
      </c>
      <c r="X201" s="12">
        <f t="shared" si="66"/>
        <v>0</v>
      </c>
      <c r="Y201" s="12" t="e">
        <f t="shared" si="67"/>
        <v>#N/A</v>
      </c>
      <c r="Z201" s="12" t="e">
        <f t="shared" si="68"/>
        <v>#N/A</v>
      </c>
      <c r="AA201" s="12">
        <f t="shared" si="69"/>
        <v>0</v>
      </c>
      <c r="AB201" s="12" t="str">
        <f>IF(SUMIFS($R:$R,$H:$H,"Yes",$B:$B,'Client Level Data'!$B201)&gt;0,"CPY Flag","")</f>
        <v/>
      </c>
      <c r="AC201" s="12" t="str">
        <f t="shared" si="70"/>
        <v>N/A</v>
      </c>
      <c r="AD201" s="12">
        <f t="shared" si="71"/>
        <v>200</v>
      </c>
      <c r="AE201" s="12" t="str">
        <f t="shared" si="72"/>
        <v>Child</v>
      </c>
      <c r="AF201" s="12">
        <f t="shared" si="73"/>
        <v>200</v>
      </c>
      <c r="AG201" s="12" t="str">
        <f t="shared" si="74"/>
        <v>True</v>
      </c>
      <c r="AH201" s="12">
        <f t="shared" si="75"/>
        <v>200</v>
      </c>
      <c r="AI201" s="12" t="str">
        <f t="shared" si="76"/>
        <v>False</v>
      </c>
    </row>
    <row r="202" spans="1:35" s="133" customFormat="1" ht="15.75" customHeight="1" x14ac:dyDescent="0.25">
      <c r="A202" s="191">
        <v>295</v>
      </c>
      <c r="B202" s="146"/>
      <c r="C202" s="173"/>
      <c r="D202" s="168"/>
      <c r="E202" s="169"/>
      <c r="F202" s="175"/>
      <c r="G202" s="143"/>
      <c r="H202" s="175"/>
      <c r="I202" s="167"/>
      <c r="J202" s="126"/>
      <c r="K202" s="175"/>
      <c r="L202" s="167"/>
      <c r="M202" s="175"/>
      <c r="N202" s="167"/>
      <c r="O202" s="175"/>
      <c r="P202" s="167"/>
      <c r="Q202" s="170">
        <f>IF(COUNTIF($B$8:$B207,$B202)=1,1,0)</f>
        <v>0</v>
      </c>
      <c r="R202" s="171">
        <f>IFERROR((COUNTIF($A:$A,'Client Level Data'!$A202))/COUNTIF($B:$B,$B202),0)</f>
        <v>0</v>
      </c>
      <c r="S202" s="131" t="str">
        <f>IF(SUMIFS($R:$R,$J:$J,"Yes",$B:$B,'Client Level Data'!$B202)&gt;0,"Chronic Flag","")</f>
        <v/>
      </c>
      <c r="T202" s="171" t="str">
        <f>IF(SUMIFS($R:$R,$G:$G,"Yes",$B:$B,'Client Level Data'!$B202)&gt;0,"PY Flag","")</f>
        <v/>
      </c>
      <c r="U202" s="171" t="str">
        <f>IF(SUMIFS($R:$R,$D:$D,"&lt;18",$G:$G,"Yes",$B:$B,'Client Level Data'!$B202)&gt;0,"PY &lt;18",IF(SUMIFS($R:$R,$D:$D,"&gt;17",$D:$D,"&lt;25",$G:$G,"Yes",$B:$B,'Client Level Data'!$B202)&gt;0,"PY &gt;17 &lt;25",""))</f>
        <v/>
      </c>
      <c r="V202" s="172">
        <f>IF('Client Level Data'!$K202="Yes",1,0)+IF('Client Level Data'!$L202="Yes",1,0)+IF('Client Level Data'!$M202="Yes",1,0)</f>
        <v>0</v>
      </c>
      <c r="W202" s="172" t="str">
        <f>IF(SUMIFS($R:$R,$F:$F,"Yes",$B:$B,'Client Level Data'!$B202)&gt;0,"Vet Flag","")</f>
        <v/>
      </c>
      <c r="X202" s="133">
        <f t="shared" si="66"/>
        <v>0</v>
      </c>
      <c r="Y202" s="133" t="e">
        <f t="shared" si="67"/>
        <v>#N/A</v>
      </c>
      <c r="Z202" s="133" t="e">
        <f t="shared" si="68"/>
        <v>#N/A</v>
      </c>
      <c r="AA202" s="133">
        <f t="shared" si="69"/>
        <v>0</v>
      </c>
      <c r="AB202" s="133" t="str">
        <f>IF(SUMIFS($R:$R,$H:$H,"Yes",$B:$B,'Client Level Data'!$B202)&gt;0,"CPY Flag","")</f>
        <v/>
      </c>
      <c r="AC202" s="133" t="str">
        <f t="shared" si="70"/>
        <v>N/A</v>
      </c>
      <c r="AD202" s="133">
        <f t="shared" si="71"/>
        <v>200</v>
      </c>
      <c r="AE202" s="133" t="str">
        <f t="shared" si="72"/>
        <v>Child</v>
      </c>
      <c r="AF202" s="133">
        <f t="shared" si="73"/>
        <v>200</v>
      </c>
      <c r="AG202" s="133" t="str">
        <f t="shared" si="74"/>
        <v>True</v>
      </c>
      <c r="AH202" s="133">
        <f t="shared" si="75"/>
        <v>200</v>
      </c>
      <c r="AI202" s="133" t="str">
        <f t="shared" si="76"/>
        <v>False</v>
      </c>
    </row>
    <row r="203" spans="1:35" ht="15.75" customHeight="1" x14ac:dyDescent="0.25">
      <c r="A203" s="195">
        <v>296</v>
      </c>
      <c r="B203" s="176"/>
      <c r="C203" s="178"/>
      <c r="D203" s="122"/>
      <c r="E203" s="184"/>
      <c r="F203" s="115"/>
      <c r="G203" s="185"/>
      <c r="H203" s="115"/>
      <c r="I203" s="177"/>
      <c r="J203" s="179"/>
      <c r="K203" s="115"/>
      <c r="L203" s="185"/>
      <c r="M203" s="115"/>
      <c r="N203" s="185"/>
      <c r="O203" s="115"/>
      <c r="P203" s="177"/>
      <c r="Q203" s="166">
        <f>IF(COUNTIF($B$8:$B207,$B203)=1,1,0)</f>
        <v>0</v>
      </c>
      <c r="R203" s="165">
        <f>IFERROR((COUNTIF($A:$A,'Client Level Data'!$A203))/COUNTIF($B:$B,$B203),0)</f>
        <v>0</v>
      </c>
      <c r="S203" s="22" t="str">
        <f>IF(SUMIFS($R:$R,$J:$J,"Yes",$B:$B,'Client Level Data'!$B203)&gt;0,"Chronic Flag","")</f>
        <v/>
      </c>
      <c r="T203" s="165" t="str">
        <f>IF(SUMIFS($R:$R,$G:$G,"Yes",$B:$B,'Client Level Data'!$B203)&gt;0,"PY Flag","")</f>
        <v/>
      </c>
      <c r="U203" s="165" t="str">
        <f>IF(SUMIFS($R:$R,$D:$D,"&lt;18",$G:$G,"Yes",$B:$B,'Client Level Data'!$B203)&gt;0,"PY &lt;18",IF(SUMIFS($R:$R,$D:$D,"&gt;17",$D:$D,"&lt;25",$G:$G,"Yes",$B:$B,'Client Level Data'!$B203)&gt;0,"PY &gt;17 &lt;25",""))</f>
        <v/>
      </c>
      <c r="V203" s="1">
        <f>IF('Client Level Data'!$K203="Yes",1,0)+IF('Client Level Data'!$L203="Yes",1,0)+IF('Client Level Data'!$M203="Yes",1,0)</f>
        <v>0</v>
      </c>
      <c r="W203" s="1" t="str">
        <f>IF(SUMIFS($R:$R,$F:$F,"Yes",$B:$B,'Client Level Data'!$B203)&gt;0,"Vet Flag","")</f>
        <v/>
      </c>
      <c r="X203" s="12">
        <f t="shared" si="66"/>
        <v>0</v>
      </c>
      <c r="Y203" s="12" t="e">
        <f t="shared" si="67"/>
        <v>#N/A</v>
      </c>
      <c r="Z203" s="12" t="e">
        <f t="shared" si="68"/>
        <v>#N/A</v>
      </c>
      <c r="AA203" s="12">
        <f t="shared" si="69"/>
        <v>0</v>
      </c>
      <c r="AB203" s="12" t="str">
        <f>IF(SUMIFS($R:$R,$H:$H,"Yes",$B:$B,'Client Level Data'!$B203)&gt;0,"CPY Flag","")</f>
        <v/>
      </c>
      <c r="AC203" s="12" t="str">
        <f t="shared" si="70"/>
        <v>N/A</v>
      </c>
      <c r="AD203" s="12">
        <f t="shared" si="71"/>
        <v>200</v>
      </c>
      <c r="AE203" s="12" t="str">
        <f t="shared" si="72"/>
        <v>Child</v>
      </c>
      <c r="AF203" s="12">
        <f t="shared" si="73"/>
        <v>200</v>
      </c>
      <c r="AG203" s="12" t="str">
        <f t="shared" si="74"/>
        <v>True</v>
      </c>
      <c r="AH203" s="12">
        <f t="shared" si="75"/>
        <v>200</v>
      </c>
      <c r="AI203" s="12" t="str">
        <f t="shared" si="76"/>
        <v>False</v>
      </c>
    </row>
    <row r="204" spans="1:35" s="133" customFormat="1" ht="15.75" customHeight="1" x14ac:dyDescent="0.25">
      <c r="A204" s="191">
        <v>297</v>
      </c>
      <c r="B204" s="142"/>
      <c r="C204" s="173"/>
      <c r="D204" s="168"/>
      <c r="E204" s="169"/>
      <c r="F204" s="175"/>
      <c r="G204" s="143"/>
      <c r="H204" s="175"/>
      <c r="I204" s="167"/>
      <c r="J204" s="126"/>
      <c r="K204" s="175"/>
      <c r="L204" s="167"/>
      <c r="M204" s="175"/>
      <c r="N204" s="167"/>
      <c r="O204" s="175"/>
      <c r="P204" s="167"/>
      <c r="Q204" s="170">
        <f>IF(COUNTIF($B$8:$B207,$B204)=1,1,0)</f>
        <v>0</v>
      </c>
      <c r="R204" s="171">
        <f>IFERROR((COUNTIF($A:$A,'Client Level Data'!$A204))/COUNTIF($B:$B,$B204),0)</f>
        <v>0</v>
      </c>
      <c r="S204" s="131" t="str">
        <f>IF(SUMIFS($R:$R,$J:$J,"Yes",$B:$B,'Client Level Data'!$B204)&gt;0,"Chronic Flag","")</f>
        <v/>
      </c>
      <c r="T204" s="171" t="str">
        <f>IF(SUMIFS($R:$R,$G:$G,"Yes",$B:$B,'Client Level Data'!$B204)&gt;0,"PY Flag","")</f>
        <v/>
      </c>
      <c r="U204" s="171" t="str">
        <f>IF(SUMIFS($R:$R,$D:$D,"&lt;18",$G:$G,"Yes",$B:$B,'Client Level Data'!$B204)&gt;0,"PY &lt;18",IF(SUMIFS($R:$R,$D:$D,"&gt;17",$D:$D,"&lt;25",$G:$G,"Yes",$B:$B,'Client Level Data'!$B204)&gt;0,"PY &gt;17 &lt;25",""))</f>
        <v/>
      </c>
      <c r="V204" s="172">
        <f>IF('Client Level Data'!$K204="Yes",1,0)+IF('Client Level Data'!$L204="Yes",1,0)+IF('Client Level Data'!$M204="Yes",1,0)</f>
        <v>0</v>
      </c>
      <c r="W204" s="172" t="str">
        <f>IF(SUMIFS($R:$R,$F:$F,"Yes",$B:$B,'Client Level Data'!$B204)&gt;0,"Vet Flag","")</f>
        <v/>
      </c>
      <c r="X204" s="133">
        <f t="shared" si="66"/>
        <v>0</v>
      </c>
      <c r="Y204" s="133" t="e">
        <f t="shared" si="67"/>
        <v>#N/A</v>
      </c>
      <c r="Z204" s="133" t="e">
        <f t="shared" si="68"/>
        <v>#N/A</v>
      </c>
      <c r="AA204" s="133">
        <f t="shared" si="69"/>
        <v>0</v>
      </c>
      <c r="AB204" s="133" t="str">
        <f>IF(SUMIFS($R:$R,$H:$H,"Yes",$B:$B,'Client Level Data'!$B204)&gt;0,"CPY Flag","")</f>
        <v/>
      </c>
      <c r="AC204" s="133" t="str">
        <f t="shared" si="70"/>
        <v>N/A</v>
      </c>
      <c r="AD204" s="133">
        <f t="shared" si="71"/>
        <v>200</v>
      </c>
      <c r="AE204" s="133" t="str">
        <f t="shared" si="72"/>
        <v>Child</v>
      </c>
      <c r="AF204" s="133">
        <f t="shared" si="73"/>
        <v>200</v>
      </c>
      <c r="AG204" s="133" t="str">
        <f t="shared" si="74"/>
        <v>True</v>
      </c>
      <c r="AH204" s="133">
        <f t="shared" si="75"/>
        <v>200</v>
      </c>
      <c r="AI204" s="133" t="str">
        <f t="shared" si="76"/>
        <v>False</v>
      </c>
    </row>
    <row r="205" spans="1:35" ht="15.75" customHeight="1" x14ac:dyDescent="0.25">
      <c r="A205" s="195">
        <v>298</v>
      </c>
      <c r="B205" s="176"/>
      <c r="C205" s="178"/>
      <c r="D205" s="122"/>
      <c r="E205" s="184"/>
      <c r="F205" s="115"/>
      <c r="G205" s="185"/>
      <c r="H205" s="115"/>
      <c r="I205" s="177"/>
      <c r="J205" s="179"/>
      <c r="K205" s="115"/>
      <c r="L205" s="185"/>
      <c r="M205" s="115"/>
      <c r="N205" s="185"/>
      <c r="O205" s="115"/>
      <c r="P205" s="177"/>
      <c r="Q205" s="166">
        <f>IF(COUNTIF($B$8:$B207,$B205)=1,1,0)</f>
        <v>0</v>
      </c>
      <c r="R205" s="165">
        <f>IFERROR((COUNTIF($A:$A,'Client Level Data'!$A205))/COUNTIF($B:$B,$B205),0)</f>
        <v>0</v>
      </c>
      <c r="S205" s="22" t="str">
        <f>IF(SUMIFS($R:$R,$J:$J,"Yes",$B:$B,'Client Level Data'!$B205)&gt;0,"Chronic Flag","")</f>
        <v/>
      </c>
      <c r="T205" s="165" t="str">
        <f>IF(SUMIFS($R:$R,$G:$G,"Yes",$B:$B,'Client Level Data'!$B205)&gt;0,"PY Flag","")</f>
        <v/>
      </c>
      <c r="U205" s="165" t="str">
        <f>IF(SUMIFS($R:$R,$D:$D,"&lt;18",$G:$G,"Yes",$B:$B,'Client Level Data'!$B205)&gt;0,"PY &lt;18",IF(SUMIFS($R:$R,$D:$D,"&gt;17",$D:$D,"&lt;25",$G:$G,"Yes",$B:$B,'Client Level Data'!$B205)&gt;0,"PY &gt;17 &lt;25",""))</f>
        <v/>
      </c>
      <c r="V205" s="1">
        <f>IF('Client Level Data'!$K205="Yes",1,0)+IF('Client Level Data'!$L205="Yes",1,0)+IF('Client Level Data'!$M205="Yes",1,0)</f>
        <v>0</v>
      </c>
      <c r="W205" s="1" t="str">
        <f>IF(SUMIFS($R:$R,$F:$F,"Yes",$B:$B,'Client Level Data'!$B205)&gt;0,"Vet Flag","")</f>
        <v/>
      </c>
      <c r="X205" s="12">
        <f t="shared" si="66"/>
        <v>0</v>
      </c>
      <c r="Y205" s="12" t="e">
        <f t="shared" si="67"/>
        <v>#N/A</v>
      </c>
      <c r="Z205" s="12" t="e">
        <f t="shared" si="68"/>
        <v>#N/A</v>
      </c>
      <c r="AA205" s="12">
        <f t="shared" si="69"/>
        <v>0</v>
      </c>
      <c r="AB205" s="12" t="str">
        <f>IF(SUMIFS($R:$R,$H:$H,"Yes",$B:$B,'Client Level Data'!$B205)&gt;0,"CPY Flag","")</f>
        <v/>
      </c>
      <c r="AC205" s="12" t="str">
        <f t="shared" si="70"/>
        <v>N/A</v>
      </c>
      <c r="AD205" s="12">
        <f t="shared" si="71"/>
        <v>200</v>
      </c>
      <c r="AE205" s="12" t="str">
        <f t="shared" si="72"/>
        <v>Child</v>
      </c>
      <c r="AF205" s="12">
        <f t="shared" si="73"/>
        <v>200</v>
      </c>
      <c r="AG205" s="12" t="str">
        <f t="shared" si="74"/>
        <v>True</v>
      </c>
      <c r="AH205" s="12">
        <f t="shared" si="75"/>
        <v>200</v>
      </c>
      <c r="AI205" s="12" t="str">
        <f t="shared" si="76"/>
        <v>False</v>
      </c>
    </row>
    <row r="206" spans="1:35" s="133" customFormat="1" ht="15.75" customHeight="1" x14ac:dyDescent="0.25">
      <c r="A206" s="191">
        <v>299</v>
      </c>
      <c r="B206" s="146"/>
      <c r="C206" s="173"/>
      <c r="D206" s="186"/>
      <c r="E206" s="187"/>
      <c r="F206" s="142"/>
      <c r="G206" s="188"/>
      <c r="H206" s="142"/>
      <c r="I206" s="186"/>
      <c r="J206" s="126"/>
      <c r="K206" s="175"/>
      <c r="L206" s="167"/>
      <c r="M206" s="175"/>
      <c r="N206" s="167"/>
      <c r="O206" s="175"/>
      <c r="P206" s="167"/>
      <c r="Q206" s="170">
        <f>IF(COUNTIF($B$8:$B207,$B206)=1,1,0)</f>
        <v>0</v>
      </c>
      <c r="R206" s="171">
        <f>IFERROR((COUNTIF($A:$A,'Client Level Data'!$A206))/COUNTIF($B:$B,$B206),0)</f>
        <v>0</v>
      </c>
      <c r="S206" s="131" t="str">
        <f>IF(SUMIFS($R:$R,$J:$J,"Yes",$B:$B,'Client Level Data'!$B206)&gt;0,"Chronic Flag","")</f>
        <v/>
      </c>
      <c r="T206" s="171" t="str">
        <f>IF(SUMIFS($R:$R,$G:$G,"Yes",$B:$B,'Client Level Data'!$B206)&gt;0,"PY Flag","")</f>
        <v/>
      </c>
      <c r="U206" s="171" t="str">
        <f>IF(SUMIFS($R:$R,$D:$D,"&lt;18",$G:$G,"Yes",$B:$B,'Client Level Data'!$B206)&gt;0,"PY &lt;18",IF(SUMIFS($R:$R,$D:$D,"&gt;17",$D:$D,"&lt;25",$G:$G,"Yes",$B:$B,'Client Level Data'!$B206)&gt;0,"PY &gt;17 &lt;25",""))</f>
        <v/>
      </c>
      <c r="V206" s="172">
        <f>IF('Client Level Data'!$K206="Yes",1,0)+IF('Client Level Data'!$L206="Yes",1,0)+IF('Client Level Data'!$M206="Yes",1,0)</f>
        <v>0</v>
      </c>
      <c r="W206" s="172" t="str">
        <f>IF(SUMIFS($R:$R,$F:$F,"Yes",$B:$B,'Client Level Data'!$B206)&gt;0,"Vet Flag","")</f>
        <v/>
      </c>
      <c r="X206" s="133">
        <f t="shared" si="66"/>
        <v>0</v>
      </c>
      <c r="Y206" s="133" t="e">
        <f t="shared" si="67"/>
        <v>#N/A</v>
      </c>
      <c r="Z206" s="133" t="e">
        <f t="shared" si="68"/>
        <v>#N/A</v>
      </c>
      <c r="AA206" s="133">
        <f t="shared" si="69"/>
        <v>0</v>
      </c>
      <c r="AB206" s="133" t="str">
        <f>IF(SUMIFS($R:$R,$H:$H,"Yes",$B:$B,'Client Level Data'!$B206)&gt;0,"CPY Flag","")</f>
        <v/>
      </c>
      <c r="AC206" s="133" t="str">
        <f t="shared" si="70"/>
        <v>N/A</v>
      </c>
      <c r="AD206" s="133">
        <f t="shared" si="71"/>
        <v>200</v>
      </c>
      <c r="AE206" s="133" t="str">
        <f t="shared" si="72"/>
        <v>Child</v>
      </c>
      <c r="AF206" s="133">
        <f t="shared" si="73"/>
        <v>200</v>
      </c>
      <c r="AG206" s="133" t="str">
        <f t="shared" si="74"/>
        <v>True</v>
      </c>
      <c r="AH206" s="133">
        <f t="shared" si="75"/>
        <v>200</v>
      </c>
      <c r="AI206" s="133" t="str">
        <f t="shared" si="76"/>
        <v>False</v>
      </c>
    </row>
    <row r="207" spans="1:35" ht="15.75" customHeight="1" x14ac:dyDescent="0.25">
      <c r="A207" s="192">
        <v>300</v>
      </c>
      <c r="B207" s="115"/>
      <c r="C207" s="177"/>
      <c r="D207" s="122"/>
      <c r="E207" s="184"/>
      <c r="F207" s="115"/>
      <c r="G207" s="185"/>
      <c r="H207" s="115"/>
      <c r="I207" s="177"/>
      <c r="J207" s="115"/>
      <c r="K207" s="115"/>
      <c r="L207" s="185"/>
      <c r="M207" s="115"/>
      <c r="N207" s="185"/>
      <c r="O207" s="115"/>
      <c r="P207" s="177"/>
      <c r="Q207" s="165">
        <f>IF(COUNTIF($B$8:$B207,$B207)=1,1,0)</f>
        <v>0</v>
      </c>
      <c r="R207" s="165">
        <f>IFERROR((COUNTIF($A:$A,'Client Level Data'!$A207))/COUNTIF($B:$B,$B207),0)</f>
        <v>0</v>
      </c>
      <c r="S207" s="22" t="str">
        <f>IF(SUMIFS($R:$R,$J:$J,"Yes",$B:$B,'Client Level Data'!$B207)&gt;0,"Chronic Flag","")</f>
        <v/>
      </c>
      <c r="T207" s="165" t="str">
        <f>IF(SUMIFS($R:$R,$G:$G,"Yes",$B:$B,'Client Level Data'!$B207)&gt;0,"PY Flag","")</f>
        <v/>
      </c>
      <c r="U207" s="165" t="str">
        <f>IF(SUMIFS($R:$R,$D:$D,"&lt;18",$G:$G,"Yes",$B:$B,'Client Level Data'!$B207)&gt;0,"PY &lt;18",IF(SUMIFS($R:$R,$D:$D,"&gt;17",$D:$D,"&lt;25",$G:$G,"Yes",$B:$B,'Client Level Data'!$B207)&gt;0,"PY &gt;17 &lt;25",""))</f>
        <v/>
      </c>
      <c r="V207" s="1">
        <f>IF('Client Level Data'!$K207="Yes",1,0)+IF('Client Level Data'!$L207="Yes",1,0)+IF('Client Level Data'!$M207="Yes",1,0)</f>
        <v>0</v>
      </c>
      <c r="W207" s="1" t="str">
        <f>IF(SUMIFS($R:$R,$F:$F,"Yes",$B:$B,'Client Level Data'!$B207)&gt;0,"Vet Flag","")</f>
        <v/>
      </c>
      <c r="X207" s="12">
        <f t="shared" si="66"/>
        <v>0</v>
      </c>
      <c r="Y207" s="12" t="e">
        <f t="shared" si="67"/>
        <v>#N/A</v>
      </c>
      <c r="Z207" s="12" t="e">
        <f t="shared" si="68"/>
        <v>#N/A</v>
      </c>
      <c r="AA207" s="12">
        <f t="shared" si="69"/>
        <v>0</v>
      </c>
      <c r="AB207" s="12" t="str">
        <f>IF(SUMIFS($R:$R,$H:$H,"Yes",$B:$B,'Client Level Data'!$B207)&gt;0,"CPY Flag","")</f>
        <v/>
      </c>
      <c r="AC207" s="12" t="str">
        <f t="shared" si="70"/>
        <v>N/A</v>
      </c>
      <c r="AD207" s="12">
        <f t="shared" si="71"/>
        <v>200</v>
      </c>
      <c r="AE207" s="12" t="str">
        <f t="shared" si="72"/>
        <v>Child</v>
      </c>
      <c r="AF207" s="12">
        <f t="shared" si="73"/>
        <v>200</v>
      </c>
      <c r="AG207" s="12" t="str">
        <f t="shared" si="74"/>
        <v>True</v>
      </c>
      <c r="AH207" s="12">
        <f t="shared" si="75"/>
        <v>200</v>
      </c>
      <c r="AI207" s="12" t="str">
        <f t="shared" si="76"/>
        <v>False</v>
      </c>
    </row>
    <row r="208" spans="1:35" ht="15.75" customHeight="1" x14ac:dyDescent="0.25">
      <c r="A208" s="167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6"/>
      <c r="R208" s="16"/>
      <c r="S208" s="16"/>
      <c r="T208" s="16"/>
      <c r="U208" s="16"/>
      <c r="V208" s="15"/>
      <c r="W208" s="15"/>
    </row>
    <row r="209" spans="1:23" ht="15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6"/>
      <c r="R209" s="16"/>
      <c r="S209" s="16"/>
      <c r="T209" s="16"/>
      <c r="U209" s="16"/>
      <c r="V209" s="15"/>
      <c r="W209" s="15"/>
    </row>
    <row r="210" spans="1:23" ht="15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6"/>
      <c r="R210" s="16"/>
      <c r="S210" s="16"/>
      <c r="T210" s="16"/>
      <c r="U210" s="16"/>
      <c r="V210" s="15"/>
      <c r="W210" s="15"/>
    </row>
    <row r="211" spans="1:23" ht="15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6"/>
      <c r="R211" s="16"/>
      <c r="S211" s="16"/>
      <c r="T211" s="16"/>
      <c r="U211" s="16"/>
      <c r="V211" s="15"/>
      <c r="W211" s="15"/>
    </row>
    <row r="212" spans="1:23" ht="15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6"/>
      <c r="R212" s="16"/>
      <c r="S212" s="16"/>
      <c r="T212" s="16"/>
      <c r="U212" s="16"/>
      <c r="V212" s="15"/>
      <c r="W212" s="15"/>
    </row>
    <row r="213" spans="1:23" ht="15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6"/>
      <c r="R213" s="16"/>
      <c r="S213" s="16"/>
      <c r="T213" s="16"/>
      <c r="U213" s="16"/>
      <c r="V213" s="15"/>
      <c r="W213" s="15"/>
    </row>
    <row r="214" spans="1:23" ht="15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6"/>
      <c r="R214" s="16"/>
      <c r="S214" s="16"/>
      <c r="T214" s="16"/>
      <c r="U214" s="16"/>
      <c r="V214" s="15"/>
      <c r="W214" s="15"/>
    </row>
    <row r="215" spans="1:23" ht="15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6"/>
      <c r="R215" s="16"/>
      <c r="S215" s="16"/>
      <c r="T215" s="16"/>
      <c r="U215" s="16"/>
      <c r="V215" s="15"/>
      <c r="W215" s="15"/>
    </row>
    <row r="216" spans="1:23" ht="15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6"/>
      <c r="R216" s="16"/>
      <c r="S216" s="16"/>
      <c r="T216" s="16"/>
      <c r="U216" s="16"/>
      <c r="V216" s="15"/>
      <c r="W216" s="15"/>
    </row>
    <row r="217" spans="1:23" ht="15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6"/>
      <c r="R217" s="16"/>
      <c r="S217" s="16"/>
      <c r="T217" s="16"/>
      <c r="U217" s="16"/>
      <c r="V217" s="15"/>
      <c r="W217" s="15"/>
    </row>
    <row r="218" spans="1:23" ht="15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6"/>
      <c r="R218" s="16"/>
      <c r="S218" s="16"/>
      <c r="T218" s="16"/>
      <c r="U218" s="16"/>
      <c r="V218" s="15"/>
      <c r="W218" s="15"/>
    </row>
    <row r="219" spans="1:23" ht="15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6"/>
      <c r="R219" s="16"/>
      <c r="S219" s="16"/>
      <c r="T219" s="16"/>
      <c r="U219" s="16"/>
      <c r="V219" s="15"/>
      <c r="W219" s="15"/>
    </row>
    <row r="220" spans="1:23" ht="15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6"/>
      <c r="R220" s="16"/>
      <c r="S220" s="16"/>
      <c r="T220" s="16"/>
      <c r="U220" s="16"/>
      <c r="V220" s="15"/>
      <c r="W220" s="15"/>
    </row>
    <row r="221" spans="1:23" ht="15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6"/>
      <c r="R221" s="16"/>
      <c r="S221" s="16"/>
      <c r="T221" s="16"/>
      <c r="U221" s="16"/>
      <c r="V221" s="15"/>
      <c r="W221" s="15"/>
    </row>
    <row r="222" spans="1:23" ht="15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6"/>
      <c r="R222" s="16"/>
      <c r="S222" s="16"/>
      <c r="T222" s="16"/>
      <c r="U222" s="16"/>
      <c r="V222" s="15"/>
      <c r="W222" s="15"/>
    </row>
    <row r="223" spans="1:23" ht="15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6"/>
      <c r="R223" s="16"/>
      <c r="S223" s="16"/>
      <c r="T223" s="16"/>
      <c r="U223" s="16"/>
      <c r="V223" s="15"/>
      <c r="W223" s="15"/>
    </row>
    <row r="224" spans="1:23" ht="15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6"/>
      <c r="R224" s="16"/>
      <c r="S224" s="16"/>
      <c r="T224" s="16"/>
      <c r="U224" s="16"/>
      <c r="V224" s="15"/>
      <c r="W224" s="15"/>
    </row>
    <row r="225" spans="1:23" ht="15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6"/>
      <c r="R225" s="16"/>
      <c r="S225" s="16"/>
      <c r="T225" s="16"/>
      <c r="U225" s="16"/>
      <c r="V225" s="15"/>
      <c r="W225" s="15"/>
    </row>
    <row r="226" spans="1:23" ht="15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6"/>
      <c r="R226" s="16"/>
      <c r="S226" s="16"/>
      <c r="T226" s="16"/>
      <c r="U226" s="16"/>
      <c r="V226" s="15"/>
      <c r="W226" s="15"/>
    </row>
    <row r="227" spans="1:23" ht="15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6"/>
      <c r="R227" s="16"/>
      <c r="S227" s="16"/>
      <c r="T227" s="16"/>
      <c r="U227" s="16"/>
      <c r="V227" s="15"/>
      <c r="W227" s="15"/>
    </row>
    <row r="228" spans="1:23" ht="15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6"/>
      <c r="R228" s="16"/>
      <c r="S228" s="16"/>
      <c r="T228" s="16"/>
      <c r="U228" s="16"/>
      <c r="V228" s="15"/>
      <c r="W228" s="15"/>
    </row>
    <row r="229" spans="1:23" ht="15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6"/>
      <c r="R229" s="16"/>
      <c r="S229" s="16"/>
      <c r="T229" s="16"/>
      <c r="U229" s="16"/>
      <c r="V229" s="15"/>
      <c r="W229" s="15"/>
    </row>
    <row r="230" spans="1:23" ht="15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6"/>
      <c r="R230" s="16"/>
      <c r="S230" s="16"/>
      <c r="T230" s="16"/>
      <c r="U230" s="16"/>
      <c r="V230" s="15"/>
      <c r="W230" s="15"/>
    </row>
    <row r="231" spans="1:23" ht="15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6"/>
      <c r="R231" s="16"/>
      <c r="S231" s="16"/>
      <c r="T231" s="16"/>
      <c r="U231" s="16"/>
      <c r="V231" s="15"/>
      <c r="W231" s="15"/>
    </row>
    <row r="232" spans="1:23" ht="15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6"/>
      <c r="R232" s="16"/>
      <c r="S232" s="16"/>
      <c r="T232" s="16"/>
      <c r="U232" s="16"/>
      <c r="V232" s="15"/>
      <c r="W232" s="15"/>
    </row>
    <row r="233" spans="1:23" ht="15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6"/>
      <c r="R233" s="16"/>
      <c r="S233" s="16"/>
      <c r="T233" s="16"/>
      <c r="U233" s="16"/>
      <c r="V233" s="15"/>
      <c r="W233" s="15"/>
    </row>
    <row r="234" spans="1:23" ht="15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6"/>
      <c r="R234" s="16"/>
      <c r="S234" s="16"/>
      <c r="T234" s="16"/>
      <c r="U234" s="16"/>
      <c r="V234" s="15"/>
      <c r="W234" s="15"/>
    </row>
    <row r="235" spans="1:23" ht="15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6"/>
      <c r="R235" s="16"/>
      <c r="S235" s="16"/>
      <c r="T235" s="16"/>
      <c r="U235" s="16"/>
      <c r="V235" s="15"/>
      <c r="W235" s="15"/>
    </row>
    <row r="236" spans="1:23" ht="15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6"/>
      <c r="R236" s="16"/>
      <c r="S236" s="16"/>
      <c r="T236" s="16"/>
      <c r="U236" s="16"/>
      <c r="V236" s="15"/>
      <c r="W236" s="15"/>
    </row>
    <row r="237" spans="1:23" ht="15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6"/>
      <c r="R237" s="16"/>
      <c r="S237" s="16"/>
      <c r="T237" s="16"/>
      <c r="U237" s="16"/>
      <c r="V237" s="15"/>
      <c r="W237" s="15"/>
    </row>
    <row r="238" spans="1:23" ht="15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6"/>
      <c r="R238" s="16"/>
      <c r="S238" s="16"/>
      <c r="T238" s="16"/>
      <c r="U238" s="16"/>
      <c r="V238" s="15"/>
      <c r="W238" s="15"/>
    </row>
    <row r="239" spans="1:23" ht="15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6"/>
      <c r="R239" s="16"/>
      <c r="S239" s="16"/>
      <c r="T239" s="16"/>
      <c r="U239" s="16"/>
      <c r="V239" s="15"/>
      <c r="W239" s="15"/>
    </row>
    <row r="240" spans="1:23" ht="15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6"/>
      <c r="R240" s="16"/>
      <c r="S240" s="16"/>
      <c r="T240" s="16"/>
      <c r="U240" s="16"/>
      <c r="V240" s="15"/>
      <c r="W240" s="15"/>
    </row>
    <row r="241" spans="1:23" ht="15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6"/>
      <c r="R241" s="16"/>
      <c r="S241" s="16"/>
      <c r="T241" s="16"/>
      <c r="U241" s="16"/>
      <c r="V241" s="15"/>
      <c r="W241" s="15"/>
    </row>
    <row r="242" spans="1:23" ht="15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6"/>
      <c r="R242" s="16"/>
      <c r="S242" s="16"/>
      <c r="T242" s="16"/>
      <c r="U242" s="16"/>
      <c r="V242" s="15"/>
      <c r="W242" s="15"/>
    </row>
    <row r="243" spans="1:23" ht="15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6"/>
      <c r="R243" s="16"/>
      <c r="S243" s="16"/>
      <c r="T243" s="16"/>
      <c r="U243" s="16"/>
      <c r="V243" s="15"/>
      <c r="W243" s="15"/>
    </row>
    <row r="244" spans="1:23" ht="15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6"/>
      <c r="R244" s="16"/>
      <c r="S244" s="16"/>
      <c r="T244" s="16"/>
      <c r="U244" s="16"/>
      <c r="V244" s="15"/>
      <c r="W244" s="15"/>
    </row>
    <row r="245" spans="1:23" ht="15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6"/>
      <c r="R245" s="16"/>
      <c r="S245" s="16"/>
      <c r="T245" s="16"/>
      <c r="U245" s="16"/>
      <c r="V245" s="15"/>
      <c r="W245" s="15"/>
    </row>
    <row r="246" spans="1:23" ht="15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6"/>
      <c r="R246" s="16"/>
      <c r="S246" s="16"/>
      <c r="T246" s="16"/>
      <c r="U246" s="16"/>
      <c r="V246" s="15"/>
      <c r="W246" s="15"/>
    </row>
    <row r="247" spans="1:23" ht="15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6"/>
      <c r="R247" s="16"/>
      <c r="S247" s="16"/>
      <c r="T247" s="16"/>
      <c r="U247" s="16"/>
      <c r="V247" s="15"/>
      <c r="W247" s="15"/>
    </row>
    <row r="248" spans="1:23" ht="15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6"/>
      <c r="R248" s="16"/>
      <c r="S248" s="16"/>
      <c r="T248" s="16"/>
      <c r="U248" s="16"/>
      <c r="V248" s="15"/>
      <c r="W248" s="15"/>
    </row>
    <row r="249" spans="1:23" ht="15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6"/>
      <c r="R249" s="16"/>
      <c r="S249" s="16"/>
      <c r="T249" s="16"/>
      <c r="U249" s="16"/>
      <c r="V249" s="15"/>
      <c r="W249" s="15"/>
    </row>
    <row r="250" spans="1:23" ht="15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6"/>
      <c r="R250" s="16"/>
      <c r="S250" s="16"/>
      <c r="T250" s="16"/>
      <c r="U250" s="16"/>
      <c r="V250" s="15"/>
      <c r="W250" s="15"/>
    </row>
    <row r="251" spans="1:23" ht="15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6"/>
      <c r="R251" s="16"/>
      <c r="S251" s="16"/>
      <c r="T251" s="16"/>
      <c r="U251" s="16"/>
      <c r="V251" s="15"/>
      <c r="W251" s="15"/>
    </row>
    <row r="252" spans="1:23" ht="15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6"/>
      <c r="R252" s="16"/>
      <c r="S252" s="16"/>
      <c r="T252" s="16"/>
      <c r="U252" s="16"/>
      <c r="V252" s="15"/>
      <c r="W252" s="15"/>
    </row>
    <row r="253" spans="1:23" ht="15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6"/>
      <c r="R253" s="16"/>
      <c r="S253" s="16"/>
      <c r="T253" s="16"/>
      <c r="U253" s="16"/>
      <c r="V253" s="15"/>
      <c r="W253" s="15"/>
    </row>
    <row r="254" spans="1:23" ht="15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6"/>
      <c r="R254" s="16"/>
      <c r="S254" s="16"/>
      <c r="T254" s="16"/>
      <c r="U254" s="16"/>
      <c r="V254" s="15"/>
      <c r="W254" s="15"/>
    </row>
    <row r="255" spans="1:23" ht="15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6"/>
      <c r="R255" s="16"/>
      <c r="S255" s="16"/>
      <c r="T255" s="16"/>
      <c r="U255" s="16"/>
      <c r="V255" s="15"/>
      <c r="W255" s="15"/>
    </row>
    <row r="256" spans="1:23" ht="15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6"/>
      <c r="R256" s="16"/>
      <c r="S256" s="16"/>
      <c r="T256" s="16"/>
      <c r="U256" s="16"/>
      <c r="V256" s="15"/>
      <c r="W256" s="15"/>
    </row>
    <row r="257" spans="1:23" ht="15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6"/>
      <c r="R257" s="16"/>
      <c r="S257" s="16"/>
      <c r="T257" s="16"/>
      <c r="U257" s="16"/>
      <c r="V257" s="15"/>
      <c r="W257" s="15"/>
    </row>
    <row r="258" spans="1:23" ht="15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6"/>
      <c r="R258" s="16"/>
      <c r="S258" s="16"/>
      <c r="T258" s="16"/>
      <c r="U258" s="16"/>
      <c r="V258" s="15"/>
      <c r="W258" s="15"/>
    </row>
    <row r="259" spans="1:23" ht="15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6"/>
      <c r="R259" s="16"/>
      <c r="S259" s="16"/>
      <c r="T259" s="16"/>
      <c r="U259" s="16"/>
      <c r="V259" s="15"/>
      <c r="W259" s="15"/>
    </row>
    <row r="260" spans="1:23" ht="15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6"/>
      <c r="R260" s="16"/>
      <c r="S260" s="16"/>
      <c r="T260" s="16"/>
      <c r="U260" s="16"/>
      <c r="V260" s="15"/>
      <c r="W260" s="15"/>
    </row>
    <row r="261" spans="1:23" ht="15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6"/>
      <c r="R261" s="16"/>
      <c r="S261" s="16"/>
      <c r="T261" s="16"/>
      <c r="U261" s="16"/>
      <c r="V261" s="15"/>
      <c r="W261" s="15"/>
    </row>
    <row r="262" spans="1:23" ht="15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6"/>
      <c r="R262" s="16"/>
      <c r="S262" s="16"/>
      <c r="T262" s="16"/>
      <c r="U262" s="16"/>
      <c r="V262" s="15"/>
      <c r="W262" s="15"/>
    </row>
    <row r="263" spans="1:23" ht="15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6"/>
      <c r="R263" s="16"/>
      <c r="S263" s="16"/>
      <c r="T263" s="16"/>
      <c r="U263" s="16"/>
      <c r="V263" s="15"/>
      <c r="W263" s="15"/>
    </row>
    <row r="264" spans="1:23" ht="15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6"/>
      <c r="R264" s="16"/>
      <c r="S264" s="16"/>
      <c r="T264" s="16"/>
      <c r="U264" s="16"/>
      <c r="V264" s="15"/>
      <c r="W264" s="15"/>
    </row>
    <row r="265" spans="1:23" ht="15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6"/>
      <c r="R265" s="16"/>
      <c r="S265" s="16"/>
      <c r="T265" s="16"/>
      <c r="U265" s="16"/>
      <c r="V265" s="15"/>
      <c r="W265" s="15"/>
    </row>
    <row r="266" spans="1:23" ht="15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6"/>
      <c r="R266" s="16"/>
      <c r="S266" s="16"/>
      <c r="T266" s="16"/>
      <c r="U266" s="16"/>
      <c r="V266" s="15"/>
      <c r="W266" s="15"/>
    </row>
    <row r="267" spans="1:23" ht="15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6"/>
      <c r="R267" s="16"/>
      <c r="S267" s="16"/>
      <c r="T267" s="16"/>
      <c r="U267" s="16"/>
      <c r="V267" s="15"/>
      <c r="W267" s="15"/>
    </row>
    <row r="268" spans="1:23" ht="15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6"/>
      <c r="R268" s="16"/>
      <c r="S268" s="16"/>
      <c r="T268" s="16"/>
      <c r="U268" s="16"/>
      <c r="V268" s="15"/>
      <c r="W268" s="15"/>
    </row>
    <row r="269" spans="1:23" ht="15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6"/>
      <c r="R269" s="16"/>
      <c r="S269" s="16"/>
      <c r="T269" s="16"/>
      <c r="U269" s="16"/>
      <c r="V269" s="15"/>
      <c r="W269" s="15"/>
    </row>
    <row r="270" spans="1:23" ht="15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6"/>
      <c r="R270" s="16"/>
      <c r="S270" s="16"/>
      <c r="T270" s="16"/>
      <c r="U270" s="16"/>
      <c r="V270" s="15"/>
      <c r="W270" s="15"/>
    </row>
    <row r="271" spans="1:23" ht="15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6"/>
      <c r="R271" s="16"/>
      <c r="S271" s="16"/>
      <c r="T271" s="16"/>
      <c r="U271" s="16"/>
      <c r="V271" s="15"/>
      <c r="W271" s="15"/>
    </row>
    <row r="272" spans="1:23" ht="15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6"/>
      <c r="R272" s="16"/>
      <c r="S272" s="16"/>
      <c r="T272" s="16"/>
      <c r="U272" s="16"/>
      <c r="V272" s="15"/>
      <c r="W272" s="15"/>
    </row>
    <row r="273" spans="1:23" ht="15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6"/>
      <c r="R273" s="16"/>
      <c r="S273" s="16"/>
      <c r="T273" s="16"/>
      <c r="U273" s="16"/>
      <c r="V273" s="15"/>
      <c r="W273" s="15"/>
    </row>
    <row r="274" spans="1:23" ht="15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6"/>
      <c r="R274" s="16"/>
      <c r="S274" s="16"/>
      <c r="T274" s="16"/>
      <c r="U274" s="16"/>
      <c r="V274" s="15"/>
      <c r="W274" s="15"/>
    </row>
    <row r="275" spans="1:23" ht="15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6"/>
      <c r="R275" s="16"/>
      <c r="S275" s="16"/>
      <c r="T275" s="16"/>
      <c r="U275" s="16"/>
      <c r="V275" s="15"/>
      <c r="W275" s="15"/>
    </row>
    <row r="276" spans="1:23" ht="15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6"/>
      <c r="R276" s="16"/>
      <c r="S276" s="16"/>
      <c r="T276" s="16"/>
      <c r="U276" s="16"/>
      <c r="V276" s="15"/>
      <c r="W276" s="15"/>
    </row>
    <row r="277" spans="1:23" ht="15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6"/>
      <c r="R277" s="16"/>
      <c r="S277" s="16"/>
      <c r="T277" s="16"/>
      <c r="U277" s="16"/>
      <c r="V277" s="15"/>
      <c r="W277" s="15"/>
    </row>
    <row r="278" spans="1:23" ht="15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6"/>
      <c r="R278" s="16"/>
      <c r="S278" s="16"/>
      <c r="T278" s="16"/>
      <c r="U278" s="16"/>
      <c r="V278" s="15"/>
      <c r="W278" s="15"/>
    </row>
    <row r="279" spans="1:23" ht="15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6"/>
      <c r="R279" s="16"/>
      <c r="S279" s="16"/>
      <c r="T279" s="16"/>
      <c r="U279" s="16"/>
      <c r="V279" s="15"/>
      <c r="W279" s="15"/>
    </row>
    <row r="280" spans="1:23" ht="15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6"/>
      <c r="R280" s="16"/>
      <c r="S280" s="16"/>
      <c r="T280" s="16"/>
      <c r="U280" s="16"/>
      <c r="V280" s="15"/>
      <c r="W280" s="15"/>
    </row>
    <row r="281" spans="1:23" ht="15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6"/>
      <c r="R281" s="16"/>
      <c r="S281" s="16"/>
      <c r="T281" s="16"/>
      <c r="U281" s="16"/>
      <c r="V281" s="15"/>
      <c r="W281" s="15"/>
    </row>
    <row r="282" spans="1:23" ht="15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6"/>
      <c r="R282" s="16"/>
      <c r="S282" s="16"/>
      <c r="T282" s="16"/>
      <c r="U282" s="16"/>
      <c r="V282" s="15"/>
      <c r="W282" s="15"/>
    </row>
    <row r="283" spans="1:23" ht="15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6"/>
      <c r="R283" s="16"/>
      <c r="S283" s="16"/>
      <c r="T283" s="16"/>
      <c r="U283" s="16"/>
      <c r="V283" s="15"/>
      <c r="W283" s="15"/>
    </row>
    <row r="284" spans="1:23" ht="15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6"/>
      <c r="R284" s="16"/>
      <c r="S284" s="16"/>
      <c r="T284" s="16"/>
      <c r="U284" s="16"/>
      <c r="V284" s="15"/>
      <c r="W284" s="15"/>
    </row>
    <row r="285" spans="1:23" ht="15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6"/>
      <c r="R285" s="16"/>
      <c r="S285" s="16"/>
      <c r="T285" s="16"/>
      <c r="U285" s="16"/>
      <c r="V285" s="15"/>
      <c r="W285" s="15"/>
    </row>
    <row r="286" spans="1:23" ht="15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6"/>
      <c r="R286" s="16"/>
      <c r="S286" s="16"/>
      <c r="T286" s="16"/>
      <c r="U286" s="16"/>
      <c r="V286" s="15"/>
      <c r="W286" s="15"/>
    </row>
    <row r="287" spans="1:23" ht="15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6"/>
      <c r="R287" s="16"/>
      <c r="S287" s="16"/>
      <c r="T287" s="16"/>
      <c r="U287" s="16"/>
      <c r="V287" s="15"/>
      <c r="W287" s="15"/>
    </row>
    <row r="288" spans="1:23" ht="15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6"/>
      <c r="R288" s="16"/>
      <c r="S288" s="16"/>
      <c r="T288" s="16"/>
      <c r="U288" s="16"/>
      <c r="V288" s="15"/>
      <c r="W288" s="15"/>
    </row>
    <row r="289" spans="1:23" ht="15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6"/>
      <c r="R289" s="16"/>
      <c r="S289" s="16"/>
      <c r="T289" s="16"/>
      <c r="U289" s="16"/>
      <c r="V289" s="15"/>
      <c r="W289" s="15"/>
    </row>
    <row r="290" spans="1:23" ht="15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6"/>
      <c r="R290" s="16"/>
      <c r="S290" s="16"/>
      <c r="T290" s="16"/>
      <c r="U290" s="16"/>
      <c r="V290" s="15"/>
      <c r="W290" s="15"/>
    </row>
    <row r="291" spans="1:23" ht="15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6"/>
      <c r="R291" s="16"/>
      <c r="S291" s="16"/>
      <c r="T291" s="16"/>
      <c r="U291" s="16"/>
      <c r="V291" s="15"/>
      <c r="W291" s="15"/>
    </row>
    <row r="292" spans="1:23" ht="15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6"/>
      <c r="R292" s="16"/>
      <c r="S292" s="16"/>
      <c r="T292" s="16"/>
      <c r="U292" s="16"/>
      <c r="V292" s="15"/>
      <c r="W292" s="15"/>
    </row>
    <row r="293" spans="1:23" ht="15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6"/>
      <c r="R293" s="16"/>
      <c r="S293" s="16"/>
      <c r="T293" s="16"/>
      <c r="U293" s="16"/>
      <c r="V293" s="15"/>
      <c r="W293" s="15"/>
    </row>
    <row r="294" spans="1:23" ht="15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6"/>
      <c r="R294" s="16"/>
      <c r="S294" s="16"/>
      <c r="T294" s="16"/>
      <c r="U294" s="16"/>
      <c r="V294" s="15"/>
      <c r="W294" s="15"/>
    </row>
    <row r="295" spans="1:23" ht="15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6"/>
      <c r="R295" s="16"/>
      <c r="S295" s="16"/>
      <c r="T295" s="16"/>
      <c r="U295" s="16"/>
      <c r="V295" s="15"/>
      <c r="W295" s="15"/>
    </row>
    <row r="296" spans="1:23" ht="15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6"/>
      <c r="R296" s="16"/>
      <c r="S296" s="16"/>
      <c r="T296" s="16"/>
      <c r="U296" s="16"/>
      <c r="V296" s="15"/>
      <c r="W296" s="15"/>
    </row>
    <row r="297" spans="1:23" ht="15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6"/>
      <c r="R297" s="16"/>
      <c r="S297" s="16"/>
      <c r="T297" s="16"/>
      <c r="U297" s="16"/>
      <c r="V297" s="15"/>
      <c r="W297" s="15"/>
    </row>
    <row r="298" spans="1:23" ht="15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6"/>
      <c r="R298" s="16"/>
      <c r="S298" s="16"/>
      <c r="T298" s="16"/>
      <c r="U298" s="16"/>
      <c r="V298" s="15"/>
      <c r="W298" s="15"/>
    </row>
    <row r="299" spans="1:23" ht="15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6"/>
      <c r="R299" s="16"/>
      <c r="S299" s="16"/>
      <c r="T299" s="16"/>
      <c r="U299" s="16"/>
      <c r="V299" s="15"/>
      <c r="W299" s="15"/>
    </row>
    <row r="300" spans="1:23" ht="15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6"/>
      <c r="R300" s="16"/>
      <c r="S300" s="16"/>
      <c r="T300" s="16"/>
      <c r="U300" s="16"/>
      <c r="V300" s="15"/>
      <c r="W300" s="15"/>
    </row>
    <row r="301" spans="1:23" ht="15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6"/>
      <c r="R301" s="16"/>
      <c r="S301" s="16"/>
      <c r="T301" s="16"/>
      <c r="U301" s="16"/>
      <c r="V301" s="15"/>
      <c r="W301" s="15"/>
    </row>
    <row r="302" spans="1:23" ht="15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6"/>
      <c r="R302" s="16"/>
      <c r="S302" s="16"/>
      <c r="T302" s="16"/>
      <c r="U302" s="16"/>
      <c r="V302" s="15"/>
      <c r="W302" s="15"/>
    </row>
    <row r="303" spans="1:23" ht="15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6"/>
      <c r="R303" s="16"/>
      <c r="S303" s="16"/>
      <c r="T303" s="16"/>
      <c r="U303" s="16"/>
      <c r="V303" s="15"/>
      <c r="W303" s="15"/>
    </row>
    <row r="304" spans="1:23" ht="15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6"/>
      <c r="R304" s="16"/>
      <c r="S304" s="16"/>
      <c r="T304" s="16"/>
      <c r="U304" s="16"/>
      <c r="V304" s="15"/>
      <c r="W304" s="15"/>
    </row>
    <row r="305" spans="1:23" ht="15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6"/>
      <c r="R305" s="16"/>
      <c r="S305" s="16"/>
      <c r="T305" s="16"/>
      <c r="U305" s="16"/>
      <c r="V305" s="15"/>
      <c r="W305" s="15"/>
    </row>
    <row r="306" spans="1:23" ht="15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6"/>
      <c r="R306" s="16"/>
      <c r="S306" s="16"/>
      <c r="T306" s="16"/>
      <c r="U306" s="16"/>
      <c r="V306" s="15"/>
      <c r="W306" s="15"/>
    </row>
    <row r="307" spans="1:23" ht="15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6"/>
      <c r="R307" s="16"/>
      <c r="S307" s="16"/>
      <c r="T307" s="16"/>
      <c r="U307" s="16"/>
      <c r="V307" s="15"/>
      <c r="W307" s="15"/>
    </row>
    <row r="308" spans="1:23" ht="15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6"/>
      <c r="R308" s="16"/>
      <c r="S308" s="16"/>
      <c r="T308" s="16"/>
      <c r="U308" s="16"/>
      <c r="V308" s="15"/>
      <c r="W308" s="15"/>
    </row>
    <row r="309" spans="1:23" ht="15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6"/>
      <c r="R309" s="16"/>
      <c r="S309" s="16"/>
      <c r="T309" s="16"/>
      <c r="U309" s="16"/>
      <c r="V309" s="15"/>
      <c r="W309" s="15"/>
    </row>
    <row r="310" spans="1:23" ht="15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6"/>
      <c r="R310" s="16"/>
      <c r="S310" s="16"/>
      <c r="T310" s="16"/>
      <c r="U310" s="16"/>
      <c r="V310" s="15"/>
      <c r="W310" s="15"/>
    </row>
    <row r="311" spans="1:23" ht="15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6"/>
      <c r="R311" s="16"/>
      <c r="S311" s="16"/>
      <c r="T311" s="16"/>
      <c r="U311" s="16"/>
      <c r="V311" s="15"/>
      <c r="W311" s="15"/>
    </row>
    <row r="312" spans="1:23" ht="15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6"/>
      <c r="R312" s="16"/>
      <c r="S312" s="16"/>
      <c r="T312" s="16"/>
      <c r="U312" s="16"/>
      <c r="V312" s="15"/>
      <c r="W312" s="15"/>
    </row>
    <row r="313" spans="1:23" ht="15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6"/>
      <c r="R313" s="16"/>
      <c r="S313" s="16"/>
      <c r="T313" s="16"/>
      <c r="U313" s="16"/>
      <c r="V313" s="15"/>
      <c r="W313" s="15"/>
    </row>
    <row r="314" spans="1:23" ht="15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6"/>
      <c r="R314" s="16"/>
      <c r="S314" s="16"/>
      <c r="T314" s="16"/>
      <c r="U314" s="16"/>
      <c r="V314" s="15"/>
      <c r="W314" s="15"/>
    </row>
    <row r="315" spans="1:23" ht="15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6"/>
      <c r="R315" s="16"/>
      <c r="S315" s="16"/>
      <c r="T315" s="16"/>
      <c r="U315" s="16"/>
      <c r="V315" s="15"/>
      <c r="W315" s="15"/>
    </row>
    <row r="316" spans="1:23" ht="15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6"/>
      <c r="R316" s="16"/>
      <c r="S316" s="16"/>
      <c r="T316" s="16"/>
      <c r="U316" s="16"/>
      <c r="V316" s="15"/>
      <c r="W316" s="15"/>
    </row>
    <row r="317" spans="1:23" ht="15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6"/>
      <c r="R317" s="16"/>
      <c r="S317" s="16"/>
      <c r="T317" s="16"/>
      <c r="U317" s="16"/>
      <c r="V317" s="15"/>
      <c r="W317" s="15"/>
    </row>
    <row r="318" spans="1:23" ht="15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6"/>
      <c r="R318" s="16"/>
      <c r="S318" s="16"/>
      <c r="T318" s="16"/>
      <c r="U318" s="16"/>
      <c r="V318" s="15"/>
      <c r="W318" s="15"/>
    </row>
    <row r="319" spans="1:23" ht="15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6"/>
      <c r="R319" s="16"/>
      <c r="S319" s="16"/>
      <c r="T319" s="16"/>
      <c r="U319" s="16"/>
      <c r="V319" s="15"/>
      <c r="W319" s="15"/>
    </row>
    <row r="320" spans="1:23" ht="15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6"/>
      <c r="R320" s="16"/>
      <c r="S320" s="16"/>
      <c r="T320" s="16"/>
      <c r="U320" s="16"/>
      <c r="V320" s="15"/>
      <c r="W320" s="15"/>
    </row>
    <row r="321" spans="1:23" ht="15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6"/>
      <c r="R321" s="16"/>
      <c r="S321" s="16"/>
      <c r="T321" s="16"/>
      <c r="U321" s="16"/>
      <c r="V321" s="15"/>
      <c r="W321" s="15"/>
    </row>
    <row r="322" spans="1:23" ht="15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6"/>
      <c r="R322" s="16"/>
      <c r="S322" s="16"/>
      <c r="T322" s="16"/>
      <c r="U322" s="16"/>
      <c r="V322" s="15"/>
      <c r="W322" s="15"/>
    </row>
    <row r="323" spans="1:23" ht="15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6"/>
      <c r="R323" s="16"/>
      <c r="S323" s="16"/>
      <c r="T323" s="16"/>
      <c r="U323" s="16"/>
      <c r="V323" s="15"/>
      <c r="W323" s="15"/>
    </row>
    <row r="324" spans="1:23" ht="15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6"/>
      <c r="R324" s="16"/>
      <c r="S324" s="16"/>
      <c r="T324" s="16"/>
      <c r="U324" s="16"/>
      <c r="V324" s="15"/>
      <c r="W324" s="15"/>
    </row>
    <row r="325" spans="1:23" ht="15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6"/>
      <c r="R325" s="16"/>
      <c r="S325" s="16"/>
      <c r="T325" s="16"/>
      <c r="U325" s="16"/>
      <c r="V325" s="15"/>
      <c r="W325" s="15"/>
    </row>
    <row r="326" spans="1:23" ht="15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6"/>
      <c r="R326" s="16"/>
      <c r="S326" s="16"/>
      <c r="T326" s="16"/>
      <c r="U326" s="16"/>
      <c r="V326" s="15"/>
      <c r="W326" s="15"/>
    </row>
    <row r="327" spans="1:23" ht="15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6"/>
      <c r="R327" s="16"/>
      <c r="S327" s="16"/>
      <c r="T327" s="16"/>
      <c r="U327" s="16"/>
      <c r="V327" s="15"/>
      <c r="W327" s="15"/>
    </row>
    <row r="328" spans="1:23" ht="15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6"/>
      <c r="R328" s="16"/>
      <c r="S328" s="16"/>
      <c r="T328" s="16"/>
      <c r="U328" s="16"/>
      <c r="V328" s="15"/>
      <c r="W328" s="15"/>
    </row>
    <row r="329" spans="1:23" ht="15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6"/>
      <c r="R329" s="16"/>
      <c r="S329" s="16"/>
      <c r="T329" s="16"/>
      <c r="U329" s="16"/>
      <c r="V329" s="15"/>
      <c r="W329" s="15"/>
    </row>
    <row r="330" spans="1:23" ht="15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6"/>
      <c r="R330" s="16"/>
      <c r="S330" s="16"/>
      <c r="T330" s="16"/>
      <c r="U330" s="16"/>
      <c r="V330" s="15"/>
      <c r="W330" s="15"/>
    </row>
    <row r="331" spans="1:23" ht="15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6"/>
      <c r="R331" s="16"/>
      <c r="S331" s="16"/>
      <c r="T331" s="16"/>
      <c r="U331" s="16"/>
      <c r="V331" s="15"/>
      <c r="W331" s="15"/>
    </row>
    <row r="332" spans="1:23" ht="15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6"/>
      <c r="R332" s="16"/>
      <c r="S332" s="16"/>
      <c r="T332" s="16"/>
      <c r="U332" s="16"/>
      <c r="V332" s="15"/>
      <c r="W332" s="15"/>
    </row>
    <row r="333" spans="1:23" ht="15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6"/>
      <c r="R333" s="16"/>
      <c r="S333" s="16"/>
      <c r="T333" s="16"/>
      <c r="U333" s="16"/>
      <c r="V333" s="15"/>
      <c r="W333" s="15"/>
    </row>
    <row r="334" spans="1:23" ht="15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6"/>
      <c r="R334" s="16"/>
      <c r="S334" s="16"/>
      <c r="T334" s="16"/>
      <c r="U334" s="16"/>
      <c r="V334" s="15"/>
      <c r="W334" s="15"/>
    </row>
    <row r="335" spans="1:23" ht="15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6"/>
      <c r="R335" s="16"/>
      <c r="S335" s="16"/>
      <c r="T335" s="16"/>
      <c r="U335" s="16"/>
      <c r="V335" s="15"/>
      <c r="W335" s="15"/>
    </row>
    <row r="336" spans="1:23" ht="15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6"/>
      <c r="R336" s="16"/>
      <c r="S336" s="16"/>
      <c r="T336" s="16"/>
      <c r="U336" s="16"/>
      <c r="V336" s="15"/>
      <c r="W336" s="15"/>
    </row>
    <row r="337" spans="1:23" ht="15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6"/>
      <c r="R337" s="16"/>
      <c r="S337" s="16"/>
      <c r="T337" s="16"/>
      <c r="U337" s="16"/>
      <c r="V337" s="15"/>
      <c r="W337" s="15"/>
    </row>
    <row r="338" spans="1:23" ht="15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6"/>
      <c r="R338" s="16"/>
      <c r="S338" s="16"/>
      <c r="T338" s="16"/>
      <c r="U338" s="16"/>
      <c r="V338" s="15"/>
      <c r="W338" s="15"/>
    </row>
    <row r="339" spans="1:23" ht="15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6"/>
      <c r="R339" s="16"/>
      <c r="S339" s="16"/>
      <c r="T339" s="16"/>
      <c r="U339" s="16"/>
      <c r="V339" s="15"/>
      <c r="W339" s="15"/>
    </row>
    <row r="340" spans="1:23" ht="15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6"/>
      <c r="R340" s="16"/>
      <c r="S340" s="16"/>
      <c r="T340" s="16"/>
      <c r="U340" s="16"/>
      <c r="V340" s="15"/>
      <c r="W340" s="15"/>
    </row>
    <row r="341" spans="1:23" ht="15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6"/>
      <c r="R341" s="16"/>
      <c r="S341" s="16"/>
      <c r="T341" s="16"/>
      <c r="U341" s="16"/>
      <c r="V341" s="15"/>
      <c r="W341" s="15"/>
    </row>
    <row r="342" spans="1:23" ht="15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6"/>
      <c r="R342" s="16"/>
      <c r="S342" s="16"/>
      <c r="T342" s="16"/>
      <c r="U342" s="16"/>
      <c r="V342" s="15"/>
      <c r="W342" s="15"/>
    </row>
    <row r="343" spans="1:23" ht="15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6"/>
      <c r="R343" s="16"/>
      <c r="S343" s="16"/>
      <c r="T343" s="16"/>
      <c r="U343" s="16"/>
      <c r="V343" s="15"/>
      <c r="W343" s="15"/>
    </row>
    <row r="344" spans="1:23" ht="15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6"/>
      <c r="R344" s="16"/>
      <c r="S344" s="16"/>
      <c r="T344" s="16"/>
      <c r="U344" s="16"/>
      <c r="V344" s="15"/>
      <c r="W344" s="15"/>
    </row>
    <row r="345" spans="1:23" ht="15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6"/>
      <c r="R345" s="16"/>
      <c r="S345" s="16"/>
      <c r="T345" s="16"/>
      <c r="U345" s="16"/>
      <c r="V345" s="15"/>
      <c r="W345" s="15"/>
    </row>
    <row r="346" spans="1:23" ht="15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6"/>
      <c r="R346" s="16"/>
      <c r="S346" s="16"/>
      <c r="T346" s="16"/>
      <c r="U346" s="16"/>
      <c r="V346" s="15"/>
      <c r="W346" s="15"/>
    </row>
    <row r="347" spans="1:23" ht="15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6"/>
      <c r="R347" s="16"/>
      <c r="S347" s="16"/>
      <c r="T347" s="16"/>
      <c r="U347" s="16"/>
      <c r="V347" s="15"/>
      <c r="W347" s="15"/>
    </row>
    <row r="348" spans="1:23" ht="15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6"/>
      <c r="R348" s="16"/>
      <c r="S348" s="16"/>
      <c r="T348" s="16"/>
      <c r="U348" s="16"/>
      <c r="V348" s="15"/>
      <c r="W348" s="15"/>
    </row>
    <row r="349" spans="1:23" ht="15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6"/>
      <c r="R349" s="16"/>
      <c r="S349" s="16"/>
      <c r="T349" s="16"/>
      <c r="U349" s="16"/>
      <c r="V349" s="15"/>
      <c r="W349" s="15"/>
    </row>
    <row r="350" spans="1:23" ht="15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6"/>
      <c r="R350" s="16"/>
      <c r="S350" s="16"/>
      <c r="T350" s="16"/>
      <c r="U350" s="16"/>
      <c r="V350" s="15"/>
      <c r="W350" s="15"/>
    </row>
    <row r="351" spans="1:23" ht="15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6"/>
      <c r="R351" s="16"/>
      <c r="S351" s="16"/>
      <c r="T351" s="16"/>
      <c r="U351" s="16"/>
      <c r="V351" s="15"/>
      <c r="W351" s="15"/>
    </row>
    <row r="352" spans="1:23" ht="15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6"/>
      <c r="R352" s="16"/>
      <c r="S352" s="16"/>
      <c r="T352" s="16"/>
      <c r="U352" s="16"/>
      <c r="V352" s="15"/>
      <c r="W352" s="15"/>
    </row>
    <row r="353" spans="1:23" ht="15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6"/>
      <c r="R353" s="16"/>
      <c r="S353" s="16"/>
      <c r="T353" s="16"/>
      <c r="U353" s="16"/>
      <c r="V353" s="15"/>
      <c r="W353" s="15"/>
    </row>
    <row r="354" spans="1:23" ht="15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6"/>
      <c r="R354" s="16"/>
      <c r="S354" s="16"/>
      <c r="T354" s="16"/>
      <c r="U354" s="16"/>
      <c r="V354" s="15"/>
      <c r="W354" s="15"/>
    </row>
    <row r="355" spans="1:23" ht="15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6"/>
      <c r="R355" s="16"/>
      <c r="S355" s="16"/>
      <c r="T355" s="16"/>
      <c r="U355" s="16"/>
      <c r="V355" s="15"/>
      <c r="W355" s="15"/>
    </row>
    <row r="356" spans="1:23" ht="15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6"/>
      <c r="R356" s="16"/>
      <c r="S356" s="16"/>
      <c r="T356" s="16"/>
      <c r="U356" s="16"/>
      <c r="V356" s="15"/>
      <c r="W356" s="15"/>
    </row>
    <row r="357" spans="1:23" ht="15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6"/>
      <c r="R357" s="16"/>
      <c r="S357" s="16"/>
      <c r="T357" s="16"/>
      <c r="U357" s="16"/>
      <c r="V357" s="15"/>
      <c r="W357" s="15"/>
    </row>
    <row r="358" spans="1:23" ht="15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6"/>
      <c r="R358" s="16"/>
      <c r="S358" s="16"/>
      <c r="T358" s="16"/>
      <c r="U358" s="16"/>
      <c r="V358" s="15"/>
      <c r="W358" s="15"/>
    </row>
    <row r="359" spans="1:23" ht="15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6"/>
      <c r="R359" s="16"/>
      <c r="S359" s="16"/>
      <c r="T359" s="16"/>
      <c r="U359" s="16"/>
      <c r="V359" s="15"/>
      <c r="W359" s="15"/>
    </row>
    <row r="360" spans="1:23" ht="15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6"/>
      <c r="R360" s="16"/>
      <c r="S360" s="16"/>
      <c r="T360" s="16"/>
      <c r="U360" s="16"/>
      <c r="V360" s="15"/>
      <c r="W360" s="15"/>
    </row>
    <row r="361" spans="1:23" ht="15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6"/>
      <c r="R361" s="16"/>
      <c r="S361" s="16"/>
      <c r="T361" s="16"/>
      <c r="U361" s="16"/>
      <c r="V361" s="15"/>
      <c r="W361" s="15"/>
    </row>
    <row r="362" spans="1:23" ht="15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6"/>
      <c r="R362" s="16"/>
      <c r="S362" s="16"/>
      <c r="T362" s="16"/>
      <c r="U362" s="16"/>
      <c r="V362" s="15"/>
      <c r="W362" s="15"/>
    </row>
    <row r="363" spans="1:23" ht="15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6"/>
      <c r="R363" s="16"/>
      <c r="S363" s="16"/>
      <c r="T363" s="16"/>
      <c r="U363" s="16"/>
      <c r="V363" s="15"/>
      <c r="W363" s="15"/>
    </row>
    <row r="364" spans="1:23" ht="15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6"/>
      <c r="R364" s="16"/>
      <c r="S364" s="16"/>
      <c r="T364" s="16"/>
      <c r="U364" s="16"/>
      <c r="V364" s="15"/>
      <c r="W364" s="15"/>
    </row>
    <row r="365" spans="1:23" ht="15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6"/>
      <c r="R365" s="16"/>
      <c r="S365" s="16"/>
      <c r="T365" s="16"/>
      <c r="U365" s="16"/>
      <c r="V365" s="15"/>
      <c r="W365" s="15"/>
    </row>
    <row r="366" spans="1:23" ht="15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6"/>
      <c r="R366" s="16"/>
      <c r="S366" s="16"/>
      <c r="T366" s="16"/>
      <c r="U366" s="16"/>
      <c r="V366" s="15"/>
      <c r="W366" s="15"/>
    </row>
    <row r="367" spans="1:23" ht="15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6"/>
      <c r="R367" s="16"/>
      <c r="S367" s="16"/>
      <c r="T367" s="16"/>
      <c r="U367" s="16"/>
      <c r="V367" s="15"/>
      <c r="W367" s="15"/>
    </row>
    <row r="368" spans="1:23" ht="15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6"/>
      <c r="R368" s="16"/>
      <c r="S368" s="16"/>
      <c r="T368" s="16"/>
      <c r="U368" s="16"/>
      <c r="V368" s="15"/>
      <c r="W368" s="15"/>
    </row>
    <row r="369" spans="1:23" ht="15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6"/>
      <c r="R369" s="16"/>
      <c r="S369" s="16"/>
      <c r="T369" s="16"/>
      <c r="U369" s="16"/>
      <c r="V369" s="15"/>
      <c r="W369" s="15"/>
    </row>
    <row r="370" spans="1:23" ht="15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6"/>
      <c r="R370" s="16"/>
      <c r="S370" s="16"/>
      <c r="T370" s="16"/>
      <c r="U370" s="16"/>
      <c r="V370" s="15"/>
      <c r="W370" s="15"/>
    </row>
    <row r="371" spans="1:23" ht="15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6"/>
      <c r="R371" s="16"/>
      <c r="S371" s="16"/>
      <c r="T371" s="16"/>
      <c r="U371" s="16"/>
      <c r="V371" s="15"/>
      <c r="W371" s="15"/>
    </row>
    <row r="372" spans="1:23" ht="15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6"/>
      <c r="R372" s="16"/>
      <c r="S372" s="16"/>
      <c r="T372" s="16"/>
      <c r="U372" s="16"/>
      <c r="V372" s="15"/>
      <c r="W372" s="15"/>
    </row>
    <row r="373" spans="1:23" ht="15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6"/>
      <c r="R373" s="16"/>
      <c r="S373" s="16"/>
      <c r="T373" s="16"/>
      <c r="U373" s="16"/>
      <c r="V373" s="15"/>
      <c r="W373" s="15"/>
    </row>
    <row r="374" spans="1:23" ht="15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6"/>
      <c r="R374" s="16"/>
      <c r="S374" s="16"/>
      <c r="T374" s="16"/>
      <c r="U374" s="16"/>
      <c r="V374" s="15"/>
      <c r="W374" s="15"/>
    </row>
    <row r="375" spans="1:23" ht="15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6"/>
      <c r="R375" s="16"/>
      <c r="S375" s="16"/>
      <c r="T375" s="16"/>
      <c r="U375" s="16"/>
      <c r="V375" s="15"/>
      <c r="W375" s="15"/>
    </row>
    <row r="376" spans="1:23" ht="15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6"/>
      <c r="R376" s="16"/>
      <c r="S376" s="16"/>
      <c r="T376" s="16"/>
      <c r="U376" s="16"/>
      <c r="V376" s="15"/>
      <c r="W376" s="15"/>
    </row>
    <row r="377" spans="1:23" ht="15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6"/>
      <c r="R377" s="16"/>
      <c r="S377" s="16"/>
      <c r="T377" s="16"/>
      <c r="U377" s="16"/>
      <c r="V377" s="15"/>
      <c r="W377" s="15"/>
    </row>
    <row r="378" spans="1:23" ht="15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6"/>
      <c r="R378" s="16"/>
      <c r="S378" s="16"/>
      <c r="T378" s="16"/>
      <c r="U378" s="16"/>
      <c r="V378" s="15"/>
      <c r="W378" s="15"/>
    </row>
    <row r="379" spans="1:23" ht="15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6"/>
      <c r="R379" s="16"/>
      <c r="S379" s="16"/>
      <c r="T379" s="16"/>
      <c r="U379" s="16"/>
      <c r="V379" s="15"/>
      <c r="W379" s="15"/>
    </row>
    <row r="380" spans="1:23" ht="15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6"/>
      <c r="R380" s="16"/>
      <c r="S380" s="16"/>
      <c r="T380" s="16"/>
      <c r="U380" s="16"/>
      <c r="V380" s="15"/>
      <c r="W380" s="15"/>
    </row>
    <row r="381" spans="1:23" ht="15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6"/>
      <c r="R381" s="16"/>
      <c r="S381" s="16"/>
      <c r="T381" s="16"/>
      <c r="U381" s="16"/>
      <c r="V381" s="15"/>
      <c r="W381" s="15"/>
    </row>
    <row r="382" spans="1:23" ht="15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6"/>
      <c r="R382" s="16"/>
      <c r="S382" s="16"/>
      <c r="T382" s="16"/>
      <c r="U382" s="16"/>
      <c r="V382" s="15"/>
      <c r="W382" s="15"/>
    </row>
    <row r="383" spans="1:23" ht="15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6"/>
      <c r="R383" s="16"/>
      <c r="S383" s="16"/>
      <c r="T383" s="16"/>
      <c r="U383" s="16"/>
      <c r="V383" s="15"/>
      <c r="W383" s="15"/>
    </row>
    <row r="384" spans="1:23" ht="15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6"/>
      <c r="R384" s="16"/>
      <c r="S384" s="16"/>
      <c r="T384" s="16"/>
      <c r="U384" s="16"/>
      <c r="V384" s="15"/>
      <c r="W384" s="15"/>
    </row>
    <row r="385" spans="1:23" ht="15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6"/>
      <c r="R385" s="16"/>
      <c r="S385" s="16"/>
      <c r="T385" s="16"/>
      <c r="U385" s="16"/>
      <c r="V385" s="15"/>
      <c r="W385" s="15"/>
    </row>
    <row r="386" spans="1:23" ht="15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6"/>
      <c r="R386" s="16"/>
      <c r="S386" s="16"/>
      <c r="T386" s="16"/>
      <c r="U386" s="16"/>
      <c r="V386" s="15"/>
      <c r="W386" s="15"/>
    </row>
    <row r="387" spans="1:23" ht="15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6"/>
      <c r="R387" s="16"/>
      <c r="S387" s="16"/>
      <c r="T387" s="16"/>
      <c r="U387" s="16"/>
      <c r="V387" s="15"/>
      <c r="W387" s="15"/>
    </row>
    <row r="388" spans="1:23" ht="15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6"/>
      <c r="R388" s="16"/>
      <c r="S388" s="16"/>
      <c r="T388" s="16"/>
      <c r="U388" s="16"/>
      <c r="V388" s="15"/>
      <c r="W388" s="15"/>
    </row>
    <row r="389" spans="1:23" ht="15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6"/>
      <c r="R389" s="16"/>
      <c r="S389" s="16"/>
      <c r="T389" s="16"/>
      <c r="U389" s="16"/>
      <c r="V389" s="15"/>
      <c r="W389" s="15"/>
    </row>
    <row r="390" spans="1:23" ht="15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6"/>
      <c r="R390" s="16"/>
      <c r="S390" s="16"/>
      <c r="T390" s="16"/>
      <c r="U390" s="16"/>
      <c r="V390" s="15"/>
      <c r="W390" s="15"/>
    </row>
    <row r="391" spans="1:23" ht="15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6"/>
      <c r="R391" s="16"/>
      <c r="S391" s="16"/>
      <c r="T391" s="16"/>
      <c r="U391" s="16"/>
      <c r="V391" s="15"/>
      <c r="W391" s="15"/>
    </row>
    <row r="392" spans="1:23" ht="15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6"/>
      <c r="R392" s="16"/>
      <c r="S392" s="16"/>
      <c r="T392" s="16"/>
      <c r="U392" s="16"/>
      <c r="V392" s="15"/>
      <c r="W392" s="15"/>
    </row>
    <row r="393" spans="1:23" ht="15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6"/>
      <c r="R393" s="16"/>
      <c r="S393" s="16"/>
      <c r="T393" s="16"/>
      <c r="U393" s="16"/>
      <c r="V393" s="15"/>
      <c r="W393" s="15"/>
    </row>
    <row r="394" spans="1:23" ht="15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6"/>
      <c r="R394" s="16"/>
      <c r="S394" s="16"/>
      <c r="T394" s="16"/>
      <c r="U394" s="16"/>
      <c r="V394" s="15"/>
      <c r="W394" s="15"/>
    </row>
    <row r="395" spans="1:23" ht="15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6"/>
      <c r="R395" s="16"/>
      <c r="S395" s="16"/>
      <c r="T395" s="16"/>
      <c r="U395" s="16"/>
      <c r="V395" s="15"/>
      <c r="W395" s="15"/>
    </row>
    <row r="396" spans="1:23" ht="15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6"/>
      <c r="R396" s="16"/>
      <c r="S396" s="16"/>
      <c r="T396" s="16"/>
      <c r="U396" s="16"/>
      <c r="V396" s="15"/>
      <c r="W396" s="15"/>
    </row>
    <row r="397" spans="1:23" ht="15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6"/>
      <c r="R397" s="16"/>
      <c r="S397" s="16"/>
      <c r="T397" s="16"/>
      <c r="U397" s="16"/>
      <c r="V397" s="15"/>
      <c r="W397" s="15"/>
    </row>
    <row r="398" spans="1:23" ht="15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6"/>
      <c r="R398" s="16"/>
      <c r="S398" s="16"/>
      <c r="T398" s="16"/>
      <c r="U398" s="16"/>
      <c r="V398" s="15"/>
      <c r="W398" s="15"/>
    </row>
    <row r="399" spans="1:23" ht="15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6"/>
      <c r="R399" s="16"/>
      <c r="S399" s="16"/>
      <c r="T399" s="16"/>
      <c r="U399" s="16"/>
      <c r="V399" s="15"/>
      <c r="W399" s="15"/>
    </row>
    <row r="400" spans="1:23" ht="15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6"/>
      <c r="R400" s="16"/>
      <c r="S400" s="16"/>
      <c r="T400" s="16"/>
      <c r="U400" s="16"/>
      <c r="V400" s="15"/>
      <c r="W400" s="15"/>
    </row>
    <row r="401" spans="1:23" ht="15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6"/>
      <c r="R401" s="16"/>
      <c r="S401" s="16"/>
      <c r="T401" s="16"/>
      <c r="U401" s="16"/>
      <c r="V401" s="15"/>
      <c r="W401" s="15"/>
    </row>
    <row r="402" spans="1:23" ht="15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6"/>
      <c r="R402" s="16"/>
      <c r="S402" s="16"/>
      <c r="T402" s="16"/>
      <c r="U402" s="16"/>
      <c r="V402" s="15"/>
      <c r="W402" s="15"/>
    </row>
    <row r="403" spans="1:23" ht="15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6"/>
      <c r="R403" s="16"/>
      <c r="S403" s="16"/>
      <c r="T403" s="16"/>
      <c r="U403" s="16"/>
      <c r="V403" s="15"/>
      <c r="W403" s="15"/>
    </row>
    <row r="404" spans="1:23" ht="15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6"/>
      <c r="R404" s="16"/>
      <c r="S404" s="16"/>
      <c r="T404" s="16"/>
      <c r="U404" s="16"/>
      <c r="V404" s="15"/>
      <c r="W404" s="15"/>
    </row>
    <row r="405" spans="1:23" ht="15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6"/>
      <c r="R405" s="16"/>
      <c r="S405" s="16"/>
      <c r="T405" s="16"/>
      <c r="U405" s="16"/>
      <c r="V405" s="15"/>
      <c r="W405" s="15"/>
    </row>
    <row r="406" spans="1:23" ht="15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6"/>
      <c r="R406" s="16"/>
      <c r="S406" s="16"/>
      <c r="T406" s="16"/>
      <c r="U406" s="16"/>
      <c r="V406" s="15"/>
      <c r="W406" s="15"/>
    </row>
    <row r="407" spans="1:23" ht="15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6"/>
      <c r="R407" s="16"/>
      <c r="S407" s="16"/>
      <c r="T407" s="16"/>
      <c r="U407" s="16"/>
      <c r="V407" s="15"/>
      <c r="W407" s="15"/>
    </row>
    <row r="408" spans="1:23" ht="15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6"/>
      <c r="R408" s="16"/>
      <c r="S408" s="16"/>
      <c r="T408" s="16"/>
      <c r="U408" s="16"/>
      <c r="V408" s="15"/>
      <c r="W408" s="15"/>
    </row>
    <row r="409" spans="1:23" ht="15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6"/>
      <c r="R409" s="16"/>
      <c r="S409" s="16"/>
      <c r="T409" s="16"/>
      <c r="U409" s="16"/>
      <c r="V409" s="15"/>
      <c r="W409" s="15"/>
    </row>
    <row r="410" spans="1:23" ht="15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6"/>
      <c r="R410" s="16"/>
      <c r="S410" s="16"/>
      <c r="T410" s="16"/>
      <c r="U410" s="16"/>
      <c r="V410" s="15"/>
      <c r="W410" s="15"/>
    </row>
    <row r="411" spans="1:23" ht="15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6"/>
      <c r="R411" s="16"/>
      <c r="S411" s="16"/>
      <c r="T411" s="16"/>
      <c r="U411" s="16"/>
      <c r="V411" s="15"/>
      <c r="W411" s="15"/>
    </row>
    <row r="412" spans="1:23" ht="15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6"/>
      <c r="R412" s="16"/>
      <c r="S412" s="16"/>
      <c r="T412" s="16"/>
      <c r="U412" s="16"/>
      <c r="V412" s="15"/>
      <c r="W412" s="15"/>
    </row>
    <row r="413" spans="1:23" ht="15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6"/>
      <c r="R413" s="16"/>
      <c r="S413" s="16"/>
      <c r="T413" s="16"/>
      <c r="U413" s="16"/>
      <c r="V413" s="15"/>
      <c r="W413" s="15"/>
    </row>
    <row r="414" spans="1:23" ht="15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6"/>
      <c r="R414" s="16"/>
      <c r="S414" s="16"/>
      <c r="T414" s="16"/>
      <c r="U414" s="16"/>
      <c r="V414" s="15"/>
      <c r="W414" s="15"/>
    </row>
    <row r="415" spans="1:23" ht="15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6"/>
      <c r="R415" s="16"/>
      <c r="S415" s="16"/>
      <c r="T415" s="16"/>
      <c r="U415" s="16"/>
      <c r="V415" s="15"/>
      <c r="W415" s="15"/>
    </row>
    <row r="416" spans="1:23" ht="15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6"/>
      <c r="R416" s="16"/>
      <c r="S416" s="16"/>
      <c r="T416" s="16"/>
      <c r="U416" s="16"/>
      <c r="V416" s="15"/>
      <c r="W416" s="15"/>
    </row>
    <row r="417" spans="1:23" ht="15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6"/>
      <c r="R417" s="16"/>
      <c r="S417" s="16"/>
      <c r="T417" s="16"/>
      <c r="U417" s="16"/>
      <c r="V417" s="15"/>
      <c r="W417" s="15"/>
    </row>
    <row r="418" spans="1:23" ht="15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6"/>
      <c r="R418" s="16"/>
      <c r="S418" s="16"/>
      <c r="T418" s="16"/>
      <c r="U418" s="16"/>
      <c r="V418" s="15"/>
      <c r="W418" s="15"/>
    </row>
    <row r="419" spans="1:23" ht="15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6"/>
      <c r="R419" s="16"/>
      <c r="S419" s="16"/>
      <c r="T419" s="16"/>
      <c r="U419" s="16"/>
      <c r="V419" s="15"/>
      <c r="W419" s="15"/>
    </row>
    <row r="420" spans="1:23" ht="15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6"/>
      <c r="R420" s="16"/>
      <c r="S420" s="16"/>
      <c r="T420" s="16"/>
      <c r="U420" s="16"/>
      <c r="V420" s="15"/>
      <c r="W420" s="15"/>
    </row>
    <row r="421" spans="1:23" ht="15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6"/>
      <c r="R421" s="16"/>
      <c r="S421" s="16"/>
      <c r="T421" s="16"/>
      <c r="U421" s="16"/>
      <c r="V421" s="15"/>
      <c r="W421" s="15"/>
    </row>
    <row r="422" spans="1:23" ht="15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6"/>
      <c r="R422" s="16"/>
      <c r="S422" s="16"/>
      <c r="T422" s="16"/>
      <c r="U422" s="16"/>
      <c r="V422" s="15"/>
      <c r="W422" s="15"/>
    </row>
    <row r="423" spans="1:23" ht="15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6"/>
      <c r="R423" s="16"/>
      <c r="S423" s="16"/>
      <c r="T423" s="16"/>
      <c r="U423" s="16"/>
      <c r="V423" s="15"/>
      <c r="W423" s="15"/>
    </row>
    <row r="424" spans="1:23" ht="15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6"/>
      <c r="R424" s="16"/>
      <c r="S424" s="16"/>
      <c r="T424" s="16"/>
      <c r="U424" s="16"/>
      <c r="V424" s="15"/>
      <c r="W424" s="15"/>
    </row>
    <row r="425" spans="1:23" ht="15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6"/>
      <c r="R425" s="16"/>
      <c r="S425" s="16"/>
      <c r="T425" s="16"/>
      <c r="U425" s="16"/>
      <c r="V425" s="15"/>
      <c r="W425" s="15"/>
    </row>
    <row r="426" spans="1:23" ht="15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6"/>
      <c r="R426" s="16"/>
      <c r="S426" s="16"/>
      <c r="T426" s="16"/>
      <c r="U426" s="16"/>
      <c r="V426" s="15"/>
      <c r="W426" s="15"/>
    </row>
    <row r="427" spans="1:23" ht="15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6"/>
      <c r="R427" s="16"/>
      <c r="S427" s="16"/>
      <c r="T427" s="16"/>
      <c r="U427" s="16"/>
      <c r="V427" s="15"/>
      <c r="W427" s="15"/>
    </row>
    <row r="428" spans="1:23" ht="15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6"/>
      <c r="R428" s="16"/>
      <c r="S428" s="16"/>
      <c r="T428" s="16"/>
      <c r="U428" s="16"/>
      <c r="V428" s="15"/>
      <c r="W428" s="15"/>
    </row>
    <row r="429" spans="1:23" ht="15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6"/>
      <c r="R429" s="16"/>
      <c r="S429" s="16"/>
      <c r="T429" s="16"/>
      <c r="U429" s="16"/>
      <c r="V429" s="15"/>
      <c r="W429" s="15"/>
    </row>
    <row r="430" spans="1:23" ht="15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6"/>
      <c r="R430" s="16"/>
      <c r="S430" s="16"/>
      <c r="T430" s="16"/>
      <c r="U430" s="16"/>
      <c r="V430" s="15"/>
      <c r="W430" s="15"/>
    </row>
    <row r="431" spans="1:23" ht="15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6"/>
      <c r="R431" s="16"/>
      <c r="S431" s="16"/>
      <c r="T431" s="16"/>
      <c r="U431" s="16"/>
      <c r="V431" s="15"/>
      <c r="W431" s="15"/>
    </row>
    <row r="432" spans="1:23" ht="15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6"/>
      <c r="R432" s="16"/>
      <c r="S432" s="16"/>
      <c r="T432" s="16"/>
      <c r="U432" s="16"/>
      <c r="V432" s="15"/>
      <c r="W432" s="15"/>
    </row>
    <row r="433" spans="1:23" ht="15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6"/>
      <c r="R433" s="16"/>
      <c r="S433" s="16"/>
      <c r="T433" s="16"/>
      <c r="U433" s="16"/>
      <c r="V433" s="15"/>
      <c r="W433" s="15"/>
    </row>
    <row r="434" spans="1:23" ht="15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6"/>
      <c r="R434" s="16"/>
      <c r="S434" s="16"/>
      <c r="T434" s="16"/>
      <c r="U434" s="16"/>
      <c r="V434" s="15"/>
      <c r="W434" s="15"/>
    </row>
    <row r="435" spans="1:23" ht="15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6"/>
      <c r="R435" s="16"/>
      <c r="S435" s="16"/>
      <c r="T435" s="16"/>
      <c r="U435" s="16"/>
      <c r="V435" s="15"/>
      <c r="W435" s="15"/>
    </row>
    <row r="436" spans="1:23" ht="15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6"/>
      <c r="R436" s="16"/>
      <c r="S436" s="16"/>
      <c r="T436" s="16"/>
      <c r="U436" s="16"/>
      <c r="V436" s="15"/>
      <c r="W436" s="15"/>
    </row>
    <row r="437" spans="1:23" ht="15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6"/>
      <c r="R437" s="16"/>
      <c r="S437" s="16"/>
      <c r="T437" s="16"/>
      <c r="U437" s="16"/>
      <c r="V437" s="15"/>
      <c r="W437" s="15"/>
    </row>
    <row r="438" spans="1:23" ht="15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6"/>
      <c r="R438" s="16"/>
      <c r="S438" s="16"/>
      <c r="T438" s="16"/>
      <c r="U438" s="16"/>
      <c r="V438" s="15"/>
      <c r="W438" s="15"/>
    </row>
    <row r="439" spans="1:23" ht="15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6"/>
      <c r="R439" s="16"/>
      <c r="S439" s="16"/>
      <c r="T439" s="16"/>
      <c r="U439" s="16"/>
      <c r="V439" s="15"/>
      <c r="W439" s="15"/>
    </row>
    <row r="440" spans="1:23" ht="15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6"/>
      <c r="R440" s="16"/>
      <c r="S440" s="16"/>
      <c r="T440" s="16"/>
      <c r="U440" s="16"/>
      <c r="V440" s="15"/>
      <c r="W440" s="15"/>
    </row>
    <row r="441" spans="1:23" ht="15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6"/>
      <c r="R441" s="16"/>
      <c r="S441" s="16"/>
      <c r="T441" s="16"/>
      <c r="U441" s="16"/>
      <c r="V441" s="15"/>
      <c r="W441" s="15"/>
    </row>
    <row r="442" spans="1:23" ht="15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6"/>
      <c r="R442" s="16"/>
      <c r="S442" s="16"/>
      <c r="T442" s="16"/>
      <c r="U442" s="16"/>
      <c r="V442" s="15"/>
      <c r="W442" s="15"/>
    </row>
    <row r="443" spans="1:23" ht="15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6"/>
      <c r="R443" s="16"/>
      <c r="S443" s="16"/>
      <c r="T443" s="16"/>
      <c r="U443" s="16"/>
      <c r="V443" s="15"/>
      <c r="W443" s="15"/>
    </row>
    <row r="444" spans="1:23" ht="15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6"/>
      <c r="R444" s="16"/>
      <c r="S444" s="16"/>
      <c r="T444" s="16"/>
      <c r="U444" s="16"/>
      <c r="V444" s="15"/>
      <c r="W444" s="15"/>
    </row>
    <row r="445" spans="1:23" ht="15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6"/>
      <c r="R445" s="16"/>
      <c r="S445" s="16"/>
      <c r="T445" s="16"/>
      <c r="U445" s="16"/>
      <c r="V445" s="15"/>
      <c r="W445" s="15"/>
    </row>
    <row r="446" spans="1:23" ht="15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6"/>
      <c r="R446" s="16"/>
      <c r="S446" s="16"/>
      <c r="T446" s="16"/>
      <c r="U446" s="16"/>
      <c r="V446" s="15"/>
      <c r="W446" s="15"/>
    </row>
    <row r="447" spans="1:23" ht="15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6"/>
      <c r="R447" s="16"/>
      <c r="S447" s="16"/>
      <c r="T447" s="16"/>
      <c r="U447" s="16"/>
      <c r="V447" s="15"/>
      <c r="W447" s="15"/>
    </row>
    <row r="448" spans="1:23" ht="15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6"/>
      <c r="R448" s="16"/>
      <c r="S448" s="16"/>
      <c r="T448" s="16"/>
      <c r="U448" s="16"/>
      <c r="V448" s="15"/>
      <c r="W448" s="15"/>
    </row>
    <row r="449" spans="1:23" ht="15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6"/>
      <c r="R449" s="16"/>
      <c r="S449" s="16"/>
      <c r="T449" s="16"/>
      <c r="U449" s="16"/>
      <c r="V449" s="15"/>
      <c r="W449" s="15"/>
    </row>
    <row r="450" spans="1:23" ht="15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6"/>
      <c r="R450" s="16"/>
      <c r="S450" s="16"/>
      <c r="T450" s="16"/>
      <c r="U450" s="16"/>
      <c r="V450" s="15"/>
      <c r="W450" s="15"/>
    </row>
    <row r="451" spans="1:23" ht="15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6"/>
      <c r="R451" s="16"/>
      <c r="S451" s="16"/>
      <c r="T451" s="16"/>
      <c r="U451" s="16"/>
      <c r="V451" s="15"/>
      <c r="W451" s="15"/>
    </row>
    <row r="452" spans="1:23" ht="15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6"/>
      <c r="R452" s="16"/>
      <c r="S452" s="16"/>
      <c r="T452" s="16"/>
      <c r="U452" s="16"/>
      <c r="V452" s="15"/>
      <c r="W452" s="15"/>
    </row>
    <row r="453" spans="1:23" ht="15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6"/>
      <c r="R453" s="16"/>
      <c r="S453" s="16"/>
      <c r="T453" s="16"/>
      <c r="U453" s="16"/>
      <c r="V453" s="15"/>
      <c r="W453" s="15"/>
    </row>
    <row r="454" spans="1:23" ht="15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6"/>
      <c r="R454" s="16"/>
      <c r="S454" s="16"/>
      <c r="T454" s="16"/>
      <c r="U454" s="16"/>
      <c r="V454" s="15"/>
      <c r="W454" s="15"/>
    </row>
    <row r="455" spans="1:23" ht="15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6"/>
      <c r="R455" s="16"/>
      <c r="S455" s="16"/>
      <c r="T455" s="16"/>
      <c r="U455" s="16"/>
      <c r="V455" s="15"/>
      <c r="W455" s="15"/>
    </row>
    <row r="456" spans="1:23" ht="15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6"/>
      <c r="R456" s="16"/>
      <c r="S456" s="16"/>
      <c r="T456" s="16"/>
      <c r="U456" s="16"/>
      <c r="V456" s="15"/>
      <c r="W456" s="15"/>
    </row>
    <row r="457" spans="1:23" ht="15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6"/>
      <c r="R457" s="16"/>
      <c r="S457" s="16"/>
      <c r="T457" s="16"/>
      <c r="U457" s="16"/>
      <c r="V457" s="15"/>
      <c r="W457" s="15"/>
    </row>
    <row r="458" spans="1:23" ht="15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6"/>
      <c r="R458" s="16"/>
      <c r="S458" s="16"/>
      <c r="T458" s="16"/>
      <c r="U458" s="16"/>
      <c r="V458" s="15"/>
      <c r="W458" s="15"/>
    </row>
    <row r="459" spans="1:23" ht="15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6"/>
      <c r="R459" s="16"/>
      <c r="S459" s="16"/>
      <c r="T459" s="16"/>
      <c r="U459" s="16"/>
      <c r="V459" s="15"/>
      <c r="W459" s="15"/>
    </row>
    <row r="460" spans="1:23" ht="15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6"/>
      <c r="R460" s="16"/>
      <c r="S460" s="16"/>
      <c r="T460" s="16"/>
      <c r="U460" s="16"/>
      <c r="V460" s="15"/>
      <c r="W460" s="15"/>
    </row>
    <row r="461" spans="1:23" ht="15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6"/>
      <c r="R461" s="16"/>
      <c r="S461" s="16"/>
      <c r="T461" s="16"/>
      <c r="U461" s="16"/>
      <c r="V461" s="15"/>
      <c r="W461" s="15"/>
    </row>
    <row r="462" spans="1:23" ht="15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6"/>
      <c r="R462" s="16"/>
      <c r="S462" s="16"/>
      <c r="T462" s="16"/>
      <c r="U462" s="16"/>
      <c r="V462" s="15"/>
      <c r="W462" s="15"/>
    </row>
    <row r="463" spans="1:23" ht="15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6"/>
      <c r="R463" s="16"/>
      <c r="S463" s="16"/>
      <c r="T463" s="16"/>
      <c r="U463" s="16"/>
      <c r="V463" s="15"/>
      <c r="W463" s="15"/>
    </row>
    <row r="464" spans="1:23" ht="15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6"/>
      <c r="R464" s="16"/>
      <c r="S464" s="16"/>
      <c r="T464" s="16"/>
      <c r="U464" s="16"/>
      <c r="V464" s="15"/>
      <c r="W464" s="15"/>
    </row>
    <row r="465" spans="1:23" ht="15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6"/>
      <c r="R465" s="16"/>
      <c r="S465" s="16"/>
      <c r="T465" s="16"/>
      <c r="U465" s="16"/>
      <c r="V465" s="15"/>
      <c r="W465" s="15"/>
    </row>
    <row r="466" spans="1:23" ht="15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6"/>
      <c r="R466" s="16"/>
      <c r="S466" s="16"/>
      <c r="T466" s="16"/>
      <c r="U466" s="16"/>
      <c r="V466" s="15"/>
      <c r="W466" s="15"/>
    </row>
    <row r="467" spans="1:23" ht="15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6"/>
      <c r="R467" s="16"/>
      <c r="S467" s="16"/>
      <c r="T467" s="16"/>
      <c r="U467" s="16"/>
      <c r="V467" s="15"/>
      <c r="W467" s="15"/>
    </row>
    <row r="468" spans="1:23" ht="15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6"/>
      <c r="R468" s="16"/>
      <c r="S468" s="16"/>
      <c r="T468" s="16"/>
      <c r="U468" s="16"/>
      <c r="V468" s="15"/>
      <c r="W468" s="15"/>
    </row>
    <row r="469" spans="1:23" ht="15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6"/>
      <c r="R469" s="16"/>
      <c r="S469" s="16"/>
      <c r="T469" s="16"/>
      <c r="U469" s="16"/>
      <c r="V469" s="15"/>
      <c r="W469" s="15"/>
    </row>
    <row r="470" spans="1:23" ht="15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6"/>
      <c r="R470" s="16"/>
      <c r="S470" s="16"/>
      <c r="T470" s="16"/>
      <c r="U470" s="16"/>
      <c r="V470" s="15"/>
      <c r="W470" s="15"/>
    </row>
    <row r="471" spans="1:23" ht="15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6"/>
      <c r="R471" s="16"/>
      <c r="S471" s="16"/>
      <c r="T471" s="16"/>
      <c r="U471" s="16"/>
      <c r="V471" s="15"/>
      <c r="W471" s="15"/>
    </row>
    <row r="472" spans="1:23" ht="15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6"/>
      <c r="R472" s="16"/>
      <c r="S472" s="16"/>
      <c r="T472" s="16"/>
      <c r="U472" s="16"/>
      <c r="V472" s="15"/>
      <c r="W472" s="15"/>
    </row>
    <row r="473" spans="1:23" ht="15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6"/>
      <c r="R473" s="16"/>
      <c r="S473" s="16"/>
      <c r="T473" s="16"/>
      <c r="U473" s="16"/>
      <c r="V473" s="15"/>
      <c r="W473" s="15"/>
    </row>
    <row r="474" spans="1:23" ht="15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6"/>
      <c r="R474" s="16"/>
      <c r="S474" s="16"/>
      <c r="T474" s="16"/>
      <c r="U474" s="16"/>
      <c r="V474" s="15"/>
      <c r="W474" s="15"/>
    </row>
    <row r="475" spans="1:23" ht="15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6"/>
      <c r="R475" s="16"/>
      <c r="S475" s="16"/>
      <c r="T475" s="16"/>
      <c r="U475" s="16"/>
      <c r="V475" s="15"/>
      <c r="W475" s="15"/>
    </row>
    <row r="476" spans="1:23" ht="15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6"/>
      <c r="R476" s="16"/>
      <c r="S476" s="16"/>
      <c r="T476" s="16"/>
      <c r="U476" s="16"/>
      <c r="V476" s="15"/>
      <c r="W476" s="15"/>
    </row>
    <row r="477" spans="1:23" ht="15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6"/>
      <c r="R477" s="16"/>
      <c r="S477" s="16"/>
      <c r="T477" s="16"/>
      <c r="U477" s="16"/>
      <c r="V477" s="15"/>
      <c r="W477" s="15"/>
    </row>
    <row r="478" spans="1:23" ht="15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6"/>
      <c r="R478" s="16"/>
      <c r="S478" s="16"/>
      <c r="T478" s="16"/>
      <c r="U478" s="16"/>
      <c r="V478" s="15"/>
      <c r="W478" s="15"/>
    </row>
    <row r="479" spans="1:23" ht="15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6"/>
      <c r="R479" s="16"/>
      <c r="S479" s="16"/>
      <c r="T479" s="16"/>
      <c r="U479" s="16"/>
      <c r="V479" s="15"/>
      <c r="W479" s="15"/>
    </row>
    <row r="480" spans="1:23" ht="15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6"/>
      <c r="R480" s="16"/>
      <c r="S480" s="16"/>
      <c r="T480" s="16"/>
      <c r="U480" s="16"/>
      <c r="V480" s="15"/>
      <c r="W480" s="15"/>
    </row>
    <row r="481" spans="1:23" ht="15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6"/>
      <c r="R481" s="16"/>
      <c r="S481" s="16"/>
      <c r="T481" s="16"/>
      <c r="U481" s="16"/>
      <c r="V481" s="15"/>
      <c r="W481" s="15"/>
    </row>
    <row r="482" spans="1:23" ht="15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6"/>
      <c r="R482" s="16"/>
      <c r="S482" s="16"/>
      <c r="T482" s="16"/>
      <c r="U482" s="16"/>
      <c r="V482" s="15"/>
      <c r="W482" s="15"/>
    </row>
    <row r="483" spans="1:23" ht="15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6"/>
      <c r="R483" s="16"/>
      <c r="S483" s="16"/>
      <c r="T483" s="16"/>
      <c r="U483" s="16"/>
      <c r="V483" s="15"/>
      <c r="W483" s="15"/>
    </row>
    <row r="484" spans="1:23" ht="15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6"/>
      <c r="R484" s="16"/>
      <c r="S484" s="16"/>
      <c r="T484" s="16"/>
      <c r="U484" s="16"/>
      <c r="V484" s="15"/>
      <c r="W484" s="15"/>
    </row>
    <row r="485" spans="1:23" ht="15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6"/>
      <c r="R485" s="16"/>
      <c r="S485" s="16"/>
      <c r="T485" s="16"/>
      <c r="U485" s="16"/>
      <c r="V485" s="15"/>
      <c r="W485" s="15"/>
    </row>
    <row r="486" spans="1:23" ht="15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6"/>
      <c r="R486" s="16"/>
      <c r="S486" s="16"/>
      <c r="T486" s="16"/>
      <c r="U486" s="16"/>
      <c r="V486" s="15"/>
      <c r="W486" s="15"/>
    </row>
    <row r="487" spans="1:23" ht="15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6"/>
      <c r="R487" s="16"/>
      <c r="S487" s="16"/>
      <c r="T487" s="16"/>
      <c r="U487" s="16"/>
      <c r="V487" s="15"/>
      <c r="W487" s="15"/>
    </row>
    <row r="488" spans="1:23" ht="15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6"/>
      <c r="R488" s="16"/>
      <c r="S488" s="16"/>
      <c r="T488" s="16"/>
      <c r="U488" s="16"/>
      <c r="V488" s="15"/>
      <c r="W488" s="15"/>
    </row>
    <row r="489" spans="1:23" ht="15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6"/>
      <c r="R489" s="16"/>
      <c r="S489" s="16"/>
      <c r="T489" s="16"/>
      <c r="U489" s="16"/>
      <c r="V489" s="15"/>
      <c r="W489" s="15"/>
    </row>
    <row r="490" spans="1:23" ht="15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6"/>
      <c r="R490" s="16"/>
      <c r="S490" s="16"/>
      <c r="T490" s="16"/>
      <c r="U490" s="16"/>
      <c r="V490" s="15"/>
      <c r="W490" s="15"/>
    </row>
    <row r="491" spans="1:23" ht="15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6"/>
      <c r="R491" s="16"/>
      <c r="S491" s="16"/>
      <c r="T491" s="16"/>
      <c r="U491" s="16"/>
      <c r="V491" s="15"/>
      <c r="W491" s="15"/>
    </row>
    <row r="492" spans="1:23" ht="15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6"/>
      <c r="R492" s="16"/>
      <c r="S492" s="16"/>
      <c r="T492" s="16"/>
      <c r="U492" s="16"/>
      <c r="V492" s="15"/>
      <c r="W492" s="15"/>
    </row>
    <row r="493" spans="1:23" ht="15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6"/>
      <c r="R493" s="16"/>
      <c r="S493" s="16"/>
      <c r="T493" s="16"/>
      <c r="U493" s="16"/>
      <c r="V493" s="15"/>
      <c r="W493" s="15"/>
    </row>
    <row r="494" spans="1:23" ht="15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6"/>
      <c r="R494" s="16"/>
      <c r="S494" s="16"/>
      <c r="T494" s="16"/>
      <c r="U494" s="16"/>
      <c r="V494" s="15"/>
      <c r="W494" s="15"/>
    </row>
    <row r="495" spans="1:23" ht="15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6"/>
      <c r="R495" s="16"/>
      <c r="S495" s="16"/>
      <c r="T495" s="16"/>
      <c r="U495" s="16"/>
      <c r="V495" s="15"/>
      <c r="W495" s="15"/>
    </row>
    <row r="496" spans="1:23" ht="15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6"/>
      <c r="R496" s="16"/>
      <c r="S496" s="16"/>
      <c r="T496" s="16"/>
      <c r="U496" s="16"/>
      <c r="V496" s="15"/>
      <c r="W496" s="15"/>
    </row>
    <row r="497" spans="1:23" ht="15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6"/>
      <c r="R497" s="16"/>
      <c r="S497" s="16"/>
      <c r="T497" s="16"/>
      <c r="U497" s="16"/>
      <c r="V497" s="15"/>
      <c r="W497" s="15"/>
    </row>
    <row r="498" spans="1:23" ht="15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6"/>
      <c r="R498" s="16"/>
      <c r="S498" s="16"/>
      <c r="T498" s="16"/>
      <c r="U498" s="16"/>
      <c r="V498" s="15"/>
      <c r="W498" s="15"/>
    </row>
    <row r="499" spans="1:23" ht="15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6"/>
      <c r="R499" s="16"/>
      <c r="S499" s="16"/>
      <c r="T499" s="16"/>
      <c r="U499" s="16"/>
      <c r="V499" s="15"/>
      <c r="W499" s="15"/>
    </row>
    <row r="500" spans="1:23" ht="15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6"/>
      <c r="R500" s="16"/>
      <c r="S500" s="16"/>
      <c r="T500" s="16"/>
      <c r="U500" s="16"/>
      <c r="V500" s="15"/>
      <c r="W500" s="15"/>
    </row>
    <row r="501" spans="1:23" ht="15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6"/>
      <c r="R501" s="16"/>
      <c r="S501" s="16"/>
      <c r="T501" s="16"/>
      <c r="U501" s="16"/>
      <c r="V501" s="15"/>
      <c r="W501" s="15"/>
    </row>
    <row r="502" spans="1:23" ht="15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6"/>
      <c r="R502" s="16"/>
      <c r="S502" s="16"/>
      <c r="T502" s="16"/>
      <c r="U502" s="16"/>
      <c r="V502" s="15"/>
      <c r="W502" s="15"/>
    </row>
    <row r="503" spans="1:23" ht="15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6"/>
      <c r="R503" s="16"/>
      <c r="S503" s="16"/>
      <c r="T503" s="16"/>
      <c r="U503" s="16"/>
      <c r="V503" s="15"/>
      <c r="W503" s="15"/>
    </row>
    <row r="504" spans="1:23" ht="15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6"/>
      <c r="R504" s="16"/>
      <c r="S504" s="16"/>
      <c r="T504" s="16"/>
      <c r="U504" s="16"/>
      <c r="V504" s="15"/>
      <c r="W504" s="15"/>
    </row>
    <row r="505" spans="1:23" ht="15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6"/>
      <c r="R505" s="16"/>
      <c r="S505" s="16"/>
      <c r="T505" s="16"/>
      <c r="U505" s="16"/>
      <c r="V505" s="15"/>
      <c r="W505" s="15"/>
    </row>
    <row r="506" spans="1:23" ht="15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6"/>
      <c r="R506" s="16"/>
      <c r="S506" s="16"/>
      <c r="T506" s="16"/>
      <c r="U506" s="16"/>
      <c r="V506" s="15"/>
      <c r="W506" s="15"/>
    </row>
    <row r="507" spans="1:23" ht="15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6"/>
      <c r="R507" s="16"/>
      <c r="S507" s="16"/>
      <c r="T507" s="16"/>
      <c r="U507" s="16"/>
      <c r="V507" s="15"/>
      <c r="W507" s="15"/>
    </row>
    <row r="508" spans="1:23" ht="15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6"/>
      <c r="R508" s="16"/>
      <c r="S508" s="16"/>
      <c r="T508" s="16"/>
      <c r="U508" s="16"/>
      <c r="V508" s="15"/>
      <c r="W508" s="15"/>
    </row>
    <row r="509" spans="1:23" ht="15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6"/>
      <c r="R509" s="16"/>
      <c r="S509" s="16"/>
      <c r="T509" s="16"/>
      <c r="U509" s="16"/>
      <c r="V509" s="15"/>
      <c r="W509" s="15"/>
    </row>
    <row r="510" spans="1:23" ht="15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6"/>
      <c r="R510" s="16"/>
      <c r="S510" s="16"/>
      <c r="T510" s="16"/>
      <c r="U510" s="16"/>
      <c r="V510" s="15"/>
      <c r="W510" s="15"/>
    </row>
    <row r="511" spans="1:23" ht="15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6"/>
      <c r="R511" s="16"/>
      <c r="S511" s="16"/>
      <c r="T511" s="16"/>
      <c r="U511" s="16"/>
      <c r="V511" s="15"/>
      <c r="W511" s="15"/>
    </row>
    <row r="512" spans="1:23" ht="15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6"/>
      <c r="R512" s="16"/>
      <c r="S512" s="16"/>
      <c r="T512" s="16"/>
      <c r="U512" s="16"/>
      <c r="V512" s="15"/>
      <c r="W512" s="15"/>
    </row>
    <row r="513" spans="1:23" ht="15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6"/>
      <c r="R513" s="16"/>
      <c r="S513" s="16"/>
      <c r="T513" s="16"/>
      <c r="U513" s="16"/>
      <c r="V513" s="15"/>
      <c r="W513" s="15"/>
    </row>
    <row r="514" spans="1:23" ht="15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6"/>
      <c r="R514" s="16"/>
      <c r="S514" s="16"/>
      <c r="T514" s="16"/>
      <c r="U514" s="16"/>
      <c r="V514" s="15"/>
      <c r="W514" s="15"/>
    </row>
    <row r="515" spans="1:23" ht="15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6"/>
      <c r="R515" s="16"/>
      <c r="S515" s="16"/>
      <c r="T515" s="16"/>
      <c r="U515" s="16"/>
      <c r="V515" s="15"/>
      <c r="W515" s="15"/>
    </row>
    <row r="516" spans="1:23" ht="15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6"/>
      <c r="R516" s="16"/>
      <c r="S516" s="16"/>
      <c r="T516" s="16"/>
      <c r="U516" s="16"/>
      <c r="V516" s="15"/>
      <c r="W516" s="15"/>
    </row>
    <row r="517" spans="1:23" ht="15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6"/>
      <c r="R517" s="16"/>
      <c r="S517" s="16"/>
      <c r="T517" s="16"/>
      <c r="U517" s="16"/>
      <c r="V517" s="15"/>
      <c r="W517" s="15"/>
    </row>
    <row r="518" spans="1:23" ht="15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6"/>
      <c r="R518" s="16"/>
      <c r="S518" s="16"/>
      <c r="T518" s="16"/>
      <c r="U518" s="16"/>
      <c r="V518" s="15"/>
      <c r="W518" s="15"/>
    </row>
    <row r="519" spans="1:23" ht="15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6"/>
      <c r="R519" s="16"/>
      <c r="S519" s="16"/>
      <c r="T519" s="16"/>
      <c r="U519" s="16"/>
      <c r="V519" s="15"/>
      <c r="W519" s="15"/>
    </row>
    <row r="520" spans="1:23" ht="15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6"/>
      <c r="R520" s="16"/>
      <c r="S520" s="16"/>
      <c r="T520" s="16"/>
      <c r="U520" s="16"/>
      <c r="V520" s="15"/>
      <c r="W520" s="15"/>
    </row>
    <row r="521" spans="1:23" ht="15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6"/>
      <c r="R521" s="16"/>
      <c r="S521" s="16"/>
      <c r="T521" s="16"/>
      <c r="U521" s="16"/>
      <c r="V521" s="15"/>
      <c r="W521" s="15"/>
    </row>
    <row r="522" spans="1:23" ht="15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6"/>
      <c r="R522" s="16"/>
      <c r="S522" s="16"/>
      <c r="T522" s="16"/>
      <c r="U522" s="16"/>
      <c r="V522" s="15"/>
      <c r="W522" s="15"/>
    </row>
    <row r="523" spans="1:23" ht="15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6"/>
      <c r="R523" s="16"/>
      <c r="S523" s="16"/>
      <c r="T523" s="16"/>
      <c r="U523" s="16"/>
      <c r="V523" s="15"/>
      <c r="W523" s="15"/>
    </row>
    <row r="524" spans="1:23" ht="15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6"/>
      <c r="R524" s="16"/>
      <c r="S524" s="16"/>
      <c r="T524" s="16"/>
      <c r="U524" s="16"/>
      <c r="V524" s="15"/>
      <c r="W524" s="15"/>
    </row>
    <row r="525" spans="1:23" ht="15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6"/>
      <c r="R525" s="16"/>
      <c r="S525" s="16"/>
      <c r="T525" s="16"/>
      <c r="U525" s="16"/>
      <c r="V525" s="15"/>
      <c r="W525" s="15"/>
    </row>
    <row r="526" spans="1:23" ht="15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6"/>
      <c r="R526" s="16"/>
      <c r="S526" s="16"/>
      <c r="T526" s="16"/>
      <c r="U526" s="16"/>
      <c r="V526" s="15"/>
      <c r="W526" s="15"/>
    </row>
    <row r="527" spans="1:23" ht="15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6"/>
      <c r="R527" s="16"/>
      <c r="S527" s="16"/>
      <c r="T527" s="16"/>
      <c r="U527" s="16"/>
      <c r="V527" s="15"/>
      <c r="W527" s="15"/>
    </row>
    <row r="528" spans="1:23" ht="15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6"/>
      <c r="R528" s="16"/>
      <c r="S528" s="16"/>
      <c r="T528" s="16"/>
      <c r="U528" s="16"/>
      <c r="V528" s="15"/>
      <c r="W528" s="15"/>
    </row>
    <row r="529" spans="1:23" ht="15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6"/>
      <c r="R529" s="16"/>
      <c r="S529" s="16"/>
      <c r="T529" s="16"/>
      <c r="U529" s="16"/>
      <c r="V529" s="15"/>
      <c r="W529" s="15"/>
    </row>
    <row r="530" spans="1:23" ht="15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6"/>
      <c r="R530" s="16"/>
      <c r="S530" s="16"/>
      <c r="T530" s="16"/>
      <c r="U530" s="16"/>
      <c r="V530" s="15"/>
      <c r="W530" s="15"/>
    </row>
    <row r="531" spans="1:23" ht="15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6"/>
      <c r="R531" s="16"/>
      <c r="S531" s="16"/>
      <c r="T531" s="16"/>
      <c r="U531" s="16"/>
      <c r="V531" s="15"/>
      <c r="W531" s="15"/>
    </row>
    <row r="532" spans="1:23" ht="15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6"/>
      <c r="R532" s="16"/>
      <c r="S532" s="16"/>
      <c r="T532" s="16"/>
      <c r="U532" s="16"/>
      <c r="V532" s="15"/>
      <c r="W532" s="15"/>
    </row>
    <row r="533" spans="1:23" ht="15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6"/>
      <c r="R533" s="16"/>
      <c r="S533" s="16"/>
      <c r="T533" s="16"/>
      <c r="U533" s="16"/>
      <c r="V533" s="15"/>
      <c r="W533" s="15"/>
    </row>
    <row r="534" spans="1:23" ht="15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6"/>
      <c r="R534" s="16"/>
      <c r="S534" s="16"/>
      <c r="T534" s="16"/>
      <c r="U534" s="16"/>
      <c r="V534" s="15"/>
      <c r="W534" s="15"/>
    </row>
    <row r="535" spans="1:23" ht="15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6"/>
      <c r="R535" s="16"/>
      <c r="S535" s="16"/>
      <c r="T535" s="16"/>
      <c r="U535" s="16"/>
      <c r="V535" s="15"/>
      <c r="W535" s="15"/>
    </row>
    <row r="536" spans="1:23" ht="15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6"/>
      <c r="R536" s="16"/>
      <c r="S536" s="16"/>
      <c r="T536" s="16"/>
      <c r="U536" s="16"/>
      <c r="V536" s="15"/>
      <c r="W536" s="15"/>
    </row>
    <row r="537" spans="1:23" ht="15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6"/>
      <c r="R537" s="16"/>
      <c r="S537" s="16"/>
      <c r="T537" s="16"/>
      <c r="U537" s="16"/>
      <c r="V537" s="15"/>
      <c r="W537" s="15"/>
    </row>
    <row r="538" spans="1:23" ht="15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6"/>
      <c r="R538" s="16"/>
      <c r="S538" s="16"/>
      <c r="T538" s="16"/>
      <c r="U538" s="16"/>
      <c r="V538" s="15"/>
      <c r="W538" s="15"/>
    </row>
    <row r="539" spans="1:23" ht="15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6"/>
      <c r="R539" s="16"/>
      <c r="S539" s="16"/>
      <c r="T539" s="16"/>
      <c r="U539" s="16"/>
      <c r="V539" s="15"/>
      <c r="W539" s="15"/>
    </row>
    <row r="540" spans="1:23" ht="15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6"/>
      <c r="R540" s="16"/>
      <c r="S540" s="16"/>
      <c r="T540" s="16"/>
      <c r="U540" s="16"/>
      <c r="V540" s="15"/>
      <c r="W540" s="15"/>
    </row>
    <row r="541" spans="1:23" ht="15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6"/>
      <c r="R541" s="16"/>
      <c r="S541" s="16"/>
      <c r="T541" s="16"/>
      <c r="U541" s="16"/>
      <c r="V541" s="15"/>
      <c r="W541" s="15"/>
    </row>
    <row r="542" spans="1:23" ht="15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6"/>
      <c r="R542" s="16"/>
      <c r="S542" s="16"/>
      <c r="T542" s="16"/>
      <c r="U542" s="16"/>
      <c r="V542" s="15"/>
      <c r="W542" s="15"/>
    </row>
    <row r="543" spans="1:23" ht="15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6"/>
      <c r="R543" s="16"/>
      <c r="S543" s="16"/>
      <c r="T543" s="16"/>
      <c r="U543" s="16"/>
      <c r="V543" s="15"/>
      <c r="W543" s="15"/>
    </row>
    <row r="544" spans="1:23" ht="15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6"/>
      <c r="R544" s="16"/>
      <c r="S544" s="16"/>
      <c r="T544" s="16"/>
      <c r="U544" s="16"/>
      <c r="V544" s="15"/>
      <c r="W544" s="15"/>
    </row>
    <row r="545" spans="1:23" ht="15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6"/>
      <c r="R545" s="16"/>
      <c r="S545" s="16"/>
      <c r="T545" s="16"/>
      <c r="U545" s="16"/>
      <c r="V545" s="15"/>
      <c r="W545" s="15"/>
    </row>
    <row r="546" spans="1:23" ht="15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6"/>
      <c r="R546" s="16"/>
      <c r="S546" s="16"/>
      <c r="T546" s="16"/>
      <c r="U546" s="16"/>
      <c r="V546" s="15"/>
      <c r="W546" s="15"/>
    </row>
    <row r="547" spans="1:23" ht="15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6"/>
      <c r="R547" s="16"/>
      <c r="S547" s="16"/>
      <c r="T547" s="16"/>
      <c r="U547" s="16"/>
      <c r="V547" s="15"/>
      <c r="W547" s="15"/>
    </row>
    <row r="548" spans="1:23" ht="15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6"/>
      <c r="R548" s="16"/>
      <c r="S548" s="16"/>
      <c r="T548" s="16"/>
      <c r="U548" s="16"/>
      <c r="V548" s="15"/>
      <c r="W548" s="15"/>
    </row>
    <row r="549" spans="1:23" ht="15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6"/>
      <c r="R549" s="16"/>
      <c r="S549" s="16"/>
      <c r="T549" s="16"/>
      <c r="U549" s="16"/>
      <c r="V549" s="15"/>
      <c r="W549" s="15"/>
    </row>
    <row r="550" spans="1:23" ht="15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6"/>
      <c r="R550" s="16"/>
      <c r="S550" s="16"/>
      <c r="T550" s="16"/>
      <c r="U550" s="16"/>
      <c r="V550" s="15"/>
      <c r="W550" s="15"/>
    </row>
    <row r="551" spans="1:23" ht="15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6"/>
      <c r="R551" s="16"/>
      <c r="S551" s="16"/>
      <c r="T551" s="16"/>
      <c r="U551" s="16"/>
      <c r="V551" s="15"/>
      <c r="W551" s="15"/>
    </row>
    <row r="552" spans="1:23" ht="15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6"/>
      <c r="R552" s="16"/>
      <c r="S552" s="16"/>
      <c r="T552" s="16"/>
      <c r="U552" s="16"/>
      <c r="V552" s="15"/>
      <c r="W552" s="15"/>
    </row>
    <row r="553" spans="1:23" ht="15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6"/>
      <c r="R553" s="16"/>
      <c r="S553" s="16"/>
      <c r="T553" s="16"/>
      <c r="U553" s="16"/>
      <c r="V553" s="15"/>
      <c r="W553" s="15"/>
    </row>
    <row r="554" spans="1:23" ht="15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6"/>
      <c r="R554" s="16"/>
      <c r="S554" s="16"/>
      <c r="T554" s="16"/>
      <c r="U554" s="16"/>
      <c r="V554" s="15"/>
      <c r="W554" s="15"/>
    </row>
    <row r="555" spans="1:23" ht="15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6"/>
      <c r="R555" s="16"/>
      <c r="S555" s="16"/>
      <c r="T555" s="16"/>
      <c r="U555" s="16"/>
      <c r="V555" s="15"/>
      <c r="W555" s="15"/>
    </row>
    <row r="556" spans="1:23" ht="15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6"/>
      <c r="R556" s="16"/>
      <c r="S556" s="16"/>
      <c r="T556" s="16"/>
      <c r="U556" s="16"/>
      <c r="V556" s="15"/>
      <c r="W556" s="15"/>
    </row>
    <row r="557" spans="1:23" ht="15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6"/>
      <c r="R557" s="16"/>
      <c r="S557" s="16"/>
      <c r="T557" s="16"/>
      <c r="U557" s="16"/>
      <c r="V557" s="15"/>
      <c r="W557" s="15"/>
    </row>
    <row r="558" spans="1:23" ht="15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6"/>
      <c r="R558" s="16"/>
      <c r="S558" s="16"/>
      <c r="T558" s="16"/>
      <c r="U558" s="16"/>
      <c r="V558" s="15"/>
      <c r="W558" s="15"/>
    </row>
    <row r="559" spans="1:23" ht="15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6"/>
      <c r="R559" s="16"/>
      <c r="S559" s="16"/>
      <c r="T559" s="16"/>
      <c r="U559" s="16"/>
      <c r="V559" s="15"/>
      <c r="W559" s="15"/>
    </row>
    <row r="560" spans="1:23" ht="15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6"/>
      <c r="R560" s="16"/>
      <c r="S560" s="16"/>
      <c r="T560" s="16"/>
      <c r="U560" s="16"/>
      <c r="V560" s="15"/>
      <c r="W560" s="15"/>
    </row>
    <row r="561" spans="1:23" ht="15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6"/>
      <c r="R561" s="16"/>
      <c r="S561" s="16"/>
      <c r="T561" s="16"/>
      <c r="U561" s="16"/>
      <c r="V561" s="15"/>
      <c r="W561" s="15"/>
    </row>
    <row r="562" spans="1:23" ht="15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6"/>
      <c r="R562" s="16"/>
      <c r="S562" s="16"/>
      <c r="T562" s="16"/>
      <c r="U562" s="16"/>
      <c r="V562" s="15"/>
      <c r="W562" s="15"/>
    </row>
    <row r="563" spans="1:23" ht="15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6"/>
      <c r="R563" s="16"/>
      <c r="S563" s="16"/>
      <c r="T563" s="16"/>
      <c r="U563" s="16"/>
      <c r="V563" s="15"/>
      <c r="W563" s="15"/>
    </row>
    <row r="564" spans="1:23" ht="15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6"/>
      <c r="R564" s="16"/>
      <c r="S564" s="16"/>
      <c r="T564" s="16"/>
      <c r="U564" s="16"/>
      <c r="V564" s="15"/>
      <c r="W564" s="15"/>
    </row>
    <row r="565" spans="1:23" ht="15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6"/>
      <c r="R565" s="16"/>
      <c r="S565" s="16"/>
      <c r="T565" s="16"/>
      <c r="U565" s="16"/>
      <c r="V565" s="15"/>
      <c r="W565" s="15"/>
    </row>
    <row r="566" spans="1:23" ht="15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6"/>
      <c r="R566" s="16"/>
      <c r="S566" s="16"/>
      <c r="T566" s="16"/>
      <c r="U566" s="16"/>
      <c r="V566" s="15"/>
      <c r="W566" s="15"/>
    </row>
    <row r="567" spans="1:23" ht="15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6"/>
      <c r="R567" s="16"/>
      <c r="S567" s="16"/>
      <c r="T567" s="16"/>
      <c r="U567" s="16"/>
      <c r="V567" s="15"/>
      <c r="W567" s="15"/>
    </row>
    <row r="568" spans="1:23" ht="15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6"/>
      <c r="R568" s="16"/>
      <c r="S568" s="16"/>
      <c r="T568" s="16"/>
      <c r="U568" s="16"/>
      <c r="V568" s="15"/>
      <c r="W568" s="15"/>
    </row>
    <row r="569" spans="1:23" ht="15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6"/>
      <c r="R569" s="16"/>
      <c r="S569" s="16"/>
      <c r="T569" s="16"/>
      <c r="U569" s="16"/>
      <c r="V569" s="15"/>
      <c r="W569" s="15"/>
    </row>
    <row r="570" spans="1:23" ht="15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6"/>
      <c r="R570" s="16"/>
      <c r="S570" s="16"/>
      <c r="T570" s="16"/>
      <c r="U570" s="16"/>
      <c r="V570" s="15"/>
      <c r="W570" s="15"/>
    </row>
    <row r="571" spans="1:23" ht="15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6"/>
      <c r="R571" s="16"/>
      <c r="S571" s="16"/>
      <c r="T571" s="16"/>
      <c r="U571" s="16"/>
      <c r="V571" s="15"/>
      <c r="W571" s="15"/>
    </row>
    <row r="572" spans="1:23" ht="15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6"/>
      <c r="R572" s="16"/>
      <c r="S572" s="16"/>
      <c r="T572" s="16"/>
      <c r="U572" s="16"/>
      <c r="V572" s="15"/>
      <c r="W572" s="15"/>
    </row>
    <row r="573" spans="1:23" ht="15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6"/>
      <c r="R573" s="16"/>
      <c r="S573" s="16"/>
      <c r="T573" s="16"/>
      <c r="U573" s="16"/>
      <c r="V573" s="15"/>
      <c r="W573" s="15"/>
    </row>
    <row r="574" spans="1:23" ht="15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6"/>
      <c r="R574" s="16"/>
      <c r="S574" s="16"/>
      <c r="T574" s="16"/>
      <c r="U574" s="16"/>
      <c r="V574" s="15"/>
      <c r="W574" s="15"/>
    </row>
    <row r="575" spans="1:23" ht="15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6"/>
      <c r="R575" s="16"/>
      <c r="S575" s="16"/>
      <c r="T575" s="16"/>
      <c r="U575" s="16"/>
      <c r="V575" s="15"/>
      <c r="W575" s="15"/>
    </row>
    <row r="576" spans="1:23" ht="15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6"/>
      <c r="R576" s="16"/>
      <c r="S576" s="16"/>
      <c r="T576" s="16"/>
      <c r="U576" s="16"/>
      <c r="V576" s="15"/>
      <c r="W576" s="15"/>
    </row>
    <row r="577" spans="1:23" ht="15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6"/>
      <c r="R577" s="16"/>
      <c r="S577" s="16"/>
      <c r="T577" s="16"/>
      <c r="U577" s="16"/>
      <c r="V577" s="15"/>
      <c r="W577" s="15"/>
    </row>
    <row r="578" spans="1:23" ht="15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6"/>
      <c r="R578" s="16"/>
      <c r="S578" s="16"/>
      <c r="T578" s="16"/>
      <c r="U578" s="16"/>
      <c r="V578" s="15"/>
      <c r="W578" s="15"/>
    </row>
    <row r="579" spans="1:23" ht="15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6"/>
      <c r="R579" s="16"/>
      <c r="S579" s="16"/>
      <c r="T579" s="16"/>
      <c r="U579" s="16"/>
      <c r="V579" s="15"/>
      <c r="W579" s="15"/>
    </row>
    <row r="580" spans="1:23" ht="15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6"/>
      <c r="R580" s="16"/>
      <c r="S580" s="16"/>
      <c r="T580" s="16"/>
      <c r="U580" s="16"/>
      <c r="V580" s="15"/>
      <c r="W580" s="15"/>
    </row>
    <row r="581" spans="1:23" ht="15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6"/>
      <c r="R581" s="16"/>
      <c r="S581" s="16"/>
      <c r="T581" s="16"/>
      <c r="U581" s="16"/>
      <c r="V581" s="15"/>
      <c r="W581" s="15"/>
    </row>
    <row r="582" spans="1:23" ht="15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6"/>
      <c r="R582" s="16"/>
      <c r="S582" s="16"/>
      <c r="T582" s="16"/>
      <c r="U582" s="16"/>
      <c r="V582" s="15"/>
      <c r="W582" s="15"/>
    </row>
    <row r="583" spans="1:23" ht="15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6"/>
      <c r="R583" s="16"/>
      <c r="S583" s="16"/>
      <c r="T583" s="16"/>
      <c r="U583" s="16"/>
      <c r="V583" s="15"/>
      <c r="W583" s="15"/>
    </row>
    <row r="584" spans="1:23" ht="15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6"/>
      <c r="R584" s="16"/>
      <c r="S584" s="16"/>
      <c r="T584" s="16"/>
      <c r="U584" s="16"/>
      <c r="V584" s="15"/>
      <c r="W584" s="15"/>
    </row>
    <row r="585" spans="1:23" ht="15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6"/>
      <c r="R585" s="16"/>
      <c r="S585" s="16"/>
      <c r="T585" s="16"/>
      <c r="U585" s="16"/>
      <c r="V585" s="15"/>
      <c r="W585" s="15"/>
    </row>
    <row r="586" spans="1:23" ht="15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6"/>
      <c r="R586" s="16"/>
      <c r="S586" s="16"/>
      <c r="T586" s="16"/>
      <c r="U586" s="16"/>
      <c r="V586" s="15"/>
      <c r="W586" s="15"/>
    </row>
    <row r="587" spans="1:23" ht="15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6"/>
      <c r="R587" s="16"/>
      <c r="S587" s="16"/>
      <c r="T587" s="16"/>
      <c r="U587" s="16"/>
      <c r="V587" s="15"/>
      <c r="W587" s="15"/>
    </row>
    <row r="588" spans="1:23" ht="15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6"/>
      <c r="R588" s="16"/>
      <c r="S588" s="16"/>
      <c r="T588" s="16"/>
      <c r="U588" s="16"/>
      <c r="V588" s="15"/>
      <c r="W588" s="15"/>
    </row>
    <row r="589" spans="1:23" ht="15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6"/>
      <c r="R589" s="16"/>
      <c r="S589" s="16"/>
      <c r="T589" s="16"/>
      <c r="U589" s="16"/>
      <c r="V589" s="15"/>
      <c r="W589" s="15"/>
    </row>
    <row r="590" spans="1:23" ht="15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6"/>
      <c r="R590" s="16"/>
      <c r="S590" s="16"/>
      <c r="T590" s="16"/>
      <c r="U590" s="16"/>
      <c r="V590" s="15"/>
      <c r="W590" s="15"/>
    </row>
    <row r="591" spans="1:23" ht="15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6"/>
      <c r="R591" s="16"/>
      <c r="S591" s="16"/>
      <c r="T591" s="16"/>
      <c r="U591" s="16"/>
      <c r="V591" s="15"/>
      <c r="W591" s="15"/>
    </row>
    <row r="592" spans="1:23" ht="15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6"/>
      <c r="R592" s="16"/>
      <c r="S592" s="16"/>
      <c r="T592" s="16"/>
      <c r="U592" s="16"/>
      <c r="V592" s="15"/>
      <c r="W592" s="15"/>
    </row>
    <row r="593" spans="1:23" ht="15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6"/>
      <c r="R593" s="16"/>
      <c r="S593" s="16"/>
      <c r="T593" s="16"/>
      <c r="U593" s="16"/>
      <c r="V593" s="15"/>
      <c r="W593" s="15"/>
    </row>
    <row r="594" spans="1:23" ht="15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6"/>
      <c r="R594" s="16"/>
      <c r="S594" s="16"/>
      <c r="T594" s="16"/>
      <c r="U594" s="16"/>
      <c r="V594" s="15"/>
      <c r="W594" s="15"/>
    </row>
    <row r="595" spans="1:23" ht="15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6"/>
      <c r="R595" s="16"/>
      <c r="S595" s="16"/>
      <c r="T595" s="16"/>
      <c r="U595" s="16"/>
      <c r="V595" s="15"/>
      <c r="W595" s="15"/>
    </row>
    <row r="596" spans="1:23" ht="15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6"/>
      <c r="R596" s="16"/>
      <c r="S596" s="16"/>
      <c r="T596" s="16"/>
      <c r="U596" s="16"/>
      <c r="V596" s="15"/>
      <c r="W596" s="15"/>
    </row>
    <row r="597" spans="1:23" ht="15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6"/>
      <c r="R597" s="16"/>
      <c r="S597" s="16"/>
      <c r="T597" s="16"/>
      <c r="U597" s="16"/>
      <c r="V597" s="15"/>
      <c r="W597" s="15"/>
    </row>
    <row r="598" spans="1:23" ht="15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6"/>
      <c r="R598" s="16"/>
      <c r="S598" s="16"/>
      <c r="T598" s="16"/>
      <c r="U598" s="16"/>
      <c r="V598" s="15"/>
      <c r="W598" s="15"/>
    </row>
    <row r="599" spans="1:23" ht="15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6"/>
      <c r="R599" s="16"/>
      <c r="S599" s="16"/>
      <c r="T599" s="16"/>
      <c r="U599" s="16"/>
      <c r="V599" s="15"/>
      <c r="W599" s="15"/>
    </row>
    <row r="600" spans="1:23" ht="15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6"/>
      <c r="R600" s="16"/>
      <c r="S600" s="16"/>
      <c r="T600" s="16"/>
      <c r="U600" s="16"/>
      <c r="V600" s="15"/>
      <c r="W600" s="15"/>
    </row>
    <row r="601" spans="1:23" ht="15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6"/>
      <c r="R601" s="16"/>
      <c r="S601" s="16"/>
      <c r="T601" s="16"/>
      <c r="U601" s="16"/>
      <c r="V601" s="15"/>
      <c r="W601" s="15"/>
    </row>
    <row r="602" spans="1:23" ht="15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6"/>
      <c r="R602" s="16"/>
      <c r="S602" s="16"/>
      <c r="T602" s="16"/>
      <c r="U602" s="16"/>
      <c r="V602" s="15"/>
      <c r="W602" s="15"/>
    </row>
    <row r="603" spans="1:23" ht="15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6"/>
      <c r="R603" s="16"/>
      <c r="S603" s="16"/>
      <c r="T603" s="16"/>
      <c r="U603" s="16"/>
      <c r="V603" s="15"/>
      <c r="W603" s="15"/>
    </row>
    <row r="604" spans="1:23" ht="15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6"/>
      <c r="R604" s="16"/>
      <c r="S604" s="16"/>
      <c r="T604" s="16"/>
      <c r="U604" s="16"/>
      <c r="V604" s="15"/>
      <c r="W604" s="15"/>
    </row>
    <row r="605" spans="1:23" ht="15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6"/>
      <c r="R605" s="16"/>
      <c r="S605" s="16"/>
      <c r="T605" s="16"/>
      <c r="U605" s="16"/>
      <c r="V605" s="15"/>
      <c r="W605" s="15"/>
    </row>
    <row r="606" spans="1:23" ht="15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6"/>
      <c r="R606" s="16"/>
      <c r="S606" s="16"/>
      <c r="T606" s="16"/>
      <c r="U606" s="16"/>
      <c r="V606" s="15"/>
      <c r="W606" s="15"/>
    </row>
    <row r="607" spans="1:23" ht="15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6"/>
      <c r="R607" s="16"/>
      <c r="S607" s="16"/>
      <c r="T607" s="16"/>
      <c r="U607" s="16"/>
      <c r="V607" s="15"/>
      <c r="W607" s="15"/>
    </row>
    <row r="608" spans="1:23" ht="15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6"/>
      <c r="R608" s="16"/>
      <c r="S608" s="16"/>
      <c r="T608" s="16"/>
      <c r="U608" s="16"/>
      <c r="V608" s="15"/>
      <c r="W608" s="15"/>
    </row>
    <row r="609" spans="1:23" ht="15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6"/>
      <c r="R609" s="16"/>
      <c r="S609" s="16"/>
      <c r="T609" s="16"/>
      <c r="U609" s="16"/>
      <c r="V609" s="15"/>
      <c r="W609" s="15"/>
    </row>
    <row r="610" spans="1:23" ht="15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6"/>
      <c r="R610" s="16"/>
      <c r="S610" s="16"/>
      <c r="T610" s="16"/>
      <c r="U610" s="16"/>
      <c r="V610" s="15"/>
      <c r="W610" s="15"/>
    </row>
    <row r="611" spans="1:23" ht="15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6"/>
      <c r="R611" s="16"/>
      <c r="S611" s="16"/>
      <c r="T611" s="16"/>
      <c r="U611" s="16"/>
      <c r="V611" s="15"/>
      <c r="W611" s="15"/>
    </row>
    <row r="612" spans="1:23" ht="15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6"/>
      <c r="R612" s="16"/>
      <c r="S612" s="16"/>
      <c r="T612" s="16"/>
      <c r="U612" s="16"/>
      <c r="V612" s="15"/>
      <c r="W612" s="15"/>
    </row>
    <row r="613" spans="1:23" ht="15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6"/>
      <c r="R613" s="16"/>
      <c r="S613" s="16"/>
      <c r="T613" s="16"/>
      <c r="U613" s="16"/>
      <c r="V613" s="15"/>
      <c r="W613" s="15"/>
    </row>
    <row r="614" spans="1:23" ht="15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6"/>
      <c r="R614" s="16"/>
      <c r="S614" s="16"/>
      <c r="T614" s="16"/>
      <c r="U614" s="16"/>
      <c r="V614" s="15"/>
      <c r="W614" s="15"/>
    </row>
    <row r="615" spans="1:23" ht="15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6"/>
      <c r="R615" s="16"/>
      <c r="S615" s="16"/>
      <c r="T615" s="16"/>
      <c r="U615" s="16"/>
      <c r="V615" s="15"/>
      <c r="W615" s="15"/>
    </row>
    <row r="616" spans="1:23" ht="15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6"/>
      <c r="R616" s="16"/>
      <c r="S616" s="16"/>
      <c r="T616" s="16"/>
      <c r="U616" s="16"/>
      <c r="V616" s="15"/>
      <c r="W616" s="15"/>
    </row>
    <row r="617" spans="1:23" ht="15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6"/>
      <c r="R617" s="16"/>
      <c r="S617" s="16"/>
      <c r="T617" s="16"/>
      <c r="U617" s="16"/>
      <c r="V617" s="15"/>
      <c r="W617" s="15"/>
    </row>
    <row r="618" spans="1:23" ht="15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6"/>
      <c r="R618" s="16"/>
      <c r="S618" s="16"/>
      <c r="T618" s="16"/>
      <c r="U618" s="16"/>
      <c r="V618" s="15"/>
      <c r="W618" s="15"/>
    </row>
    <row r="619" spans="1:23" ht="15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6"/>
      <c r="R619" s="16"/>
      <c r="S619" s="16"/>
      <c r="T619" s="16"/>
      <c r="U619" s="16"/>
      <c r="V619" s="15"/>
      <c r="W619" s="15"/>
    </row>
    <row r="620" spans="1:23" ht="15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6"/>
      <c r="R620" s="16"/>
      <c r="S620" s="16"/>
      <c r="T620" s="16"/>
      <c r="U620" s="16"/>
      <c r="V620" s="15"/>
      <c r="W620" s="15"/>
    </row>
    <row r="621" spans="1:23" ht="15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6"/>
      <c r="R621" s="16"/>
      <c r="S621" s="16"/>
      <c r="T621" s="16"/>
      <c r="U621" s="16"/>
      <c r="V621" s="15"/>
      <c r="W621" s="15"/>
    </row>
    <row r="622" spans="1:23" ht="15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6"/>
      <c r="R622" s="16"/>
      <c r="S622" s="16"/>
      <c r="T622" s="16"/>
      <c r="U622" s="16"/>
      <c r="V622" s="15"/>
      <c r="W622" s="15"/>
    </row>
    <row r="623" spans="1:23" ht="15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6"/>
      <c r="R623" s="16"/>
      <c r="S623" s="16"/>
      <c r="T623" s="16"/>
      <c r="U623" s="16"/>
      <c r="V623" s="15"/>
      <c r="W623" s="15"/>
    </row>
    <row r="624" spans="1:23" ht="15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6"/>
      <c r="R624" s="16"/>
      <c r="S624" s="16"/>
      <c r="T624" s="16"/>
      <c r="U624" s="16"/>
      <c r="V624" s="15"/>
      <c r="W624" s="15"/>
    </row>
    <row r="625" spans="1:23" ht="15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6"/>
      <c r="R625" s="16"/>
      <c r="S625" s="16"/>
      <c r="T625" s="16"/>
      <c r="U625" s="16"/>
      <c r="V625" s="15"/>
      <c r="W625" s="15"/>
    </row>
    <row r="626" spans="1:23" ht="15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6"/>
      <c r="R626" s="16"/>
      <c r="S626" s="16"/>
      <c r="T626" s="16"/>
      <c r="U626" s="16"/>
      <c r="V626" s="15"/>
      <c r="W626" s="15"/>
    </row>
    <row r="627" spans="1:23" ht="15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6"/>
      <c r="R627" s="16"/>
      <c r="S627" s="16"/>
      <c r="T627" s="16"/>
      <c r="U627" s="16"/>
      <c r="V627" s="15"/>
      <c r="W627" s="15"/>
    </row>
    <row r="628" spans="1:23" ht="15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6"/>
      <c r="R628" s="16"/>
      <c r="S628" s="16"/>
      <c r="T628" s="16"/>
      <c r="U628" s="16"/>
      <c r="V628" s="15"/>
      <c r="W628" s="15"/>
    </row>
    <row r="629" spans="1:23" ht="15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6"/>
      <c r="R629" s="16"/>
      <c r="S629" s="16"/>
      <c r="T629" s="16"/>
      <c r="U629" s="16"/>
      <c r="V629" s="15"/>
      <c r="W629" s="15"/>
    </row>
    <row r="630" spans="1:23" ht="15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6"/>
      <c r="R630" s="16"/>
      <c r="S630" s="16"/>
      <c r="T630" s="16"/>
      <c r="U630" s="16"/>
      <c r="V630" s="15"/>
      <c r="W630" s="15"/>
    </row>
    <row r="631" spans="1:23" ht="15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6"/>
      <c r="R631" s="16"/>
      <c r="S631" s="16"/>
      <c r="T631" s="16"/>
      <c r="U631" s="16"/>
      <c r="V631" s="15"/>
      <c r="W631" s="15"/>
    </row>
    <row r="632" spans="1:23" ht="15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6"/>
      <c r="R632" s="16"/>
      <c r="S632" s="16"/>
      <c r="T632" s="16"/>
      <c r="U632" s="16"/>
      <c r="V632" s="15"/>
      <c r="W632" s="15"/>
    </row>
    <row r="633" spans="1:23" ht="15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6"/>
      <c r="R633" s="16"/>
      <c r="S633" s="16"/>
      <c r="T633" s="16"/>
      <c r="U633" s="16"/>
      <c r="V633" s="15"/>
      <c r="W633" s="15"/>
    </row>
    <row r="634" spans="1:23" ht="15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6"/>
      <c r="R634" s="16"/>
      <c r="S634" s="16"/>
      <c r="T634" s="16"/>
      <c r="U634" s="16"/>
      <c r="V634" s="15"/>
      <c r="W634" s="15"/>
    </row>
    <row r="635" spans="1:23" ht="15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6"/>
      <c r="R635" s="16"/>
      <c r="S635" s="16"/>
      <c r="T635" s="16"/>
      <c r="U635" s="16"/>
      <c r="V635" s="15"/>
      <c r="W635" s="15"/>
    </row>
    <row r="636" spans="1:23" ht="15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6"/>
      <c r="R636" s="16"/>
      <c r="S636" s="16"/>
      <c r="T636" s="16"/>
      <c r="U636" s="16"/>
      <c r="V636" s="15"/>
      <c r="W636" s="15"/>
    </row>
    <row r="637" spans="1:23" ht="15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6"/>
      <c r="R637" s="16"/>
      <c r="S637" s="16"/>
      <c r="T637" s="16"/>
      <c r="U637" s="16"/>
      <c r="V637" s="15"/>
      <c r="W637" s="15"/>
    </row>
    <row r="638" spans="1:23" ht="15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6"/>
      <c r="R638" s="16"/>
      <c r="S638" s="16"/>
      <c r="T638" s="16"/>
      <c r="U638" s="16"/>
      <c r="V638" s="15"/>
      <c r="W638" s="15"/>
    </row>
    <row r="639" spans="1:23" ht="15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6"/>
      <c r="R639" s="16"/>
      <c r="S639" s="16"/>
      <c r="T639" s="16"/>
      <c r="U639" s="16"/>
      <c r="V639" s="15"/>
      <c r="W639" s="15"/>
    </row>
    <row r="640" spans="1:23" ht="15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6"/>
      <c r="R640" s="16"/>
      <c r="S640" s="16"/>
      <c r="T640" s="16"/>
      <c r="U640" s="16"/>
      <c r="V640" s="15"/>
      <c r="W640" s="15"/>
    </row>
    <row r="641" spans="1:23" ht="15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6"/>
      <c r="R641" s="16"/>
      <c r="S641" s="16"/>
      <c r="T641" s="16"/>
      <c r="U641" s="16"/>
      <c r="V641" s="15"/>
      <c r="W641" s="15"/>
    </row>
    <row r="642" spans="1:23" ht="15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6"/>
      <c r="R642" s="16"/>
      <c r="S642" s="16"/>
      <c r="T642" s="16"/>
      <c r="U642" s="16"/>
      <c r="V642" s="15"/>
      <c r="W642" s="15"/>
    </row>
    <row r="643" spans="1:23" ht="15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6"/>
      <c r="R643" s="16"/>
      <c r="S643" s="16"/>
      <c r="T643" s="16"/>
      <c r="U643" s="16"/>
      <c r="V643" s="15"/>
      <c r="W643" s="15"/>
    </row>
    <row r="644" spans="1:23" ht="15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6"/>
      <c r="R644" s="16"/>
      <c r="S644" s="16"/>
      <c r="T644" s="16"/>
      <c r="U644" s="16"/>
      <c r="V644" s="15"/>
      <c r="W644" s="15"/>
    </row>
    <row r="645" spans="1:23" ht="15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6"/>
      <c r="R645" s="16"/>
      <c r="S645" s="16"/>
      <c r="T645" s="16"/>
      <c r="U645" s="16"/>
      <c r="V645" s="15"/>
      <c r="W645" s="15"/>
    </row>
    <row r="646" spans="1:23" ht="15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6"/>
      <c r="R646" s="16"/>
      <c r="S646" s="16"/>
      <c r="T646" s="16"/>
      <c r="U646" s="16"/>
      <c r="V646" s="15"/>
      <c r="W646" s="15"/>
    </row>
    <row r="647" spans="1:23" ht="15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6"/>
      <c r="R647" s="16"/>
      <c r="S647" s="16"/>
      <c r="T647" s="16"/>
      <c r="U647" s="16"/>
      <c r="V647" s="15"/>
      <c r="W647" s="15"/>
    </row>
    <row r="648" spans="1:23" ht="15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6"/>
      <c r="R648" s="16"/>
      <c r="S648" s="16"/>
      <c r="T648" s="16"/>
      <c r="U648" s="16"/>
      <c r="V648" s="15"/>
      <c r="W648" s="15"/>
    </row>
    <row r="649" spans="1:23" ht="15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6"/>
      <c r="R649" s="16"/>
      <c r="S649" s="16"/>
      <c r="T649" s="16"/>
      <c r="U649" s="16"/>
      <c r="V649" s="15"/>
      <c r="W649" s="15"/>
    </row>
    <row r="650" spans="1:23" ht="15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6"/>
      <c r="R650" s="16"/>
      <c r="S650" s="16"/>
      <c r="T650" s="16"/>
      <c r="U650" s="16"/>
      <c r="V650" s="15"/>
      <c r="W650" s="15"/>
    </row>
    <row r="651" spans="1:23" ht="15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6"/>
      <c r="R651" s="16"/>
      <c r="S651" s="16"/>
      <c r="T651" s="16"/>
      <c r="U651" s="16"/>
      <c r="V651" s="15"/>
      <c r="W651" s="15"/>
    </row>
    <row r="652" spans="1:23" ht="15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6"/>
      <c r="R652" s="16"/>
      <c r="S652" s="16"/>
      <c r="T652" s="16"/>
      <c r="U652" s="16"/>
      <c r="V652" s="15"/>
      <c r="W652" s="15"/>
    </row>
    <row r="653" spans="1:23" ht="15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6"/>
      <c r="R653" s="16"/>
      <c r="S653" s="16"/>
      <c r="T653" s="16"/>
      <c r="U653" s="16"/>
      <c r="V653" s="15"/>
      <c r="W653" s="15"/>
    </row>
    <row r="654" spans="1:23" ht="15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6"/>
      <c r="R654" s="16"/>
      <c r="S654" s="16"/>
      <c r="T654" s="16"/>
      <c r="U654" s="16"/>
      <c r="V654" s="15"/>
      <c r="W654" s="15"/>
    </row>
    <row r="655" spans="1:23" ht="15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6"/>
      <c r="R655" s="16"/>
      <c r="S655" s="16"/>
      <c r="T655" s="16"/>
      <c r="U655" s="16"/>
      <c r="V655" s="15"/>
      <c r="W655" s="15"/>
    </row>
    <row r="656" spans="1:23" ht="15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6"/>
      <c r="R656" s="16"/>
      <c r="S656" s="16"/>
      <c r="T656" s="16"/>
      <c r="U656" s="16"/>
      <c r="V656" s="15"/>
      <c r="W656" s="15"/>
    </row>
    <row r="657" spans="1:23" ht="15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6"/>
      <c r="R657" s="16"/>
      <c r="S657" s="16"/>
      <c r="T657" s="16"/>
      <c r="U657" s="16"/>
      <c r="V657" s="15"/>
      <c r="W657" s="15"/>
    </row>
    <row r="658" spans="1:23" ht="15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6"/>
      <c r="R658" s="16"/>
      <c r="S658" s="16"/>
      <c r="T658" s="16"/>
      <c r="U658" s="16"/>
      <c r="V658" s="15"/>
      <c r="W658" s="15"/>
    </row>
    <row r="659" spans="1:23" ht="15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6"/>
      <c r="R659" s="16"/>
      <c r="S659" s="16"/>
      <c r="T659" s="16"/>
      <c r="U659" s="16"/>
      <c r="V659" s="15"/>
      <c r="W659" s="15"/>
    </row>
    <row r="660" spans="1:23" ht="15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6"/>
      <c r="R660" s="16"/>
      <c r="S660" s="16"/>
      <c r="T660" s="16"/>
      <c r="U660" s="16"/>
      <c r="V660" s="15"/>
      <c r="W660" s="15"/>
    </row>
    <row r="661" spans="1:23" ht="15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6"/>
      <c r="R661" s="16"/>
      <c r="S661" s="16"/>
      <c r="T661" s="16"/>
      <c r="U661" s="16"/>
      <c r="V661" s="15"/>
      <c r="W661" s="15"/>
    </row>
    <row r="662" spans="1:23" ht="15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6"/>
      <c r="R662" s="16"/>
      <c r="S662" s="16"/>
      <c r="T662" s="16"/>
      <c r="U662" s="16"/>
      <c r="V662" s="15"/>
      <c r="W662" s="15"/>
    </row>
    <row r="663" spans="1:23" ht="15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6"/>
      <c r="R663" s="16"/>
      <c r="S663" s="16"/>
      <c r="T663" s="16"/>
      <c r="U663" s="16"/>
      <c r="V663" s="15"/>
      <c r="W663" s="15"/>
    </row>
    <row r="664" spans="1:23" ht="15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6"/>
      <c r="R664" s="16"/>
      <c r="S664" s="16"/>
      <c r="T664" s="16"/>
      <c r="U664" s="16"/>
      <c r="V664" s="15"/>
      <c r="W664" s="15"/>
    </row>
    <row r="665" spans="1:23" ht="15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6"/>
      <c r="R665" s="16"/>
      <c r="S665" s="16"/>
      <c r="T665" s="16"/>
      <c r="U665" s="16"/>
      <c r="V665" s="15"/>
      <c r="W665" s="15"/>
    </row>
    <row r="666" spans="1:23" ht="15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6"/>
      <c r="R666" s="16"/>
      <c r="S666" s="16"/>
      <c r="T666" s="16"/>
      <c r="U666" s="16"/>
      <c r="V666" s="15"/>
      <c r="W666" s="15"/>
    </row>
    <row r="667" spans="1:23" ht="15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6"/>
      <c r="R667" s="16"/>
      <c r="S667" s="16"/>
      <c r="T667" s="16"/>
      <c r="U667" s="16"/>
      <c r="V667" s="15"/>
      <c r="W667" s="15"/>
    </row>
    <row r="668" spans="1:23" ht="15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6"/>
      <c r="R668" s="16"/>
      <c r="S668" s="16"/>
      <c r="T668" s="16"/>
      <c r="U668" s="16"/>
      <c r="V668" s="15"/>
      <c r="W668" s="15"/>
    </row>
    <row r="669" spans="1:23" ht="15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6"/>
      <c r="R669" s="16"/>
      <c r="S669" s="16"/>
      <c r="T669" s="16"/>
      <c r="U669" s="16"/>
      <c r="V669" s="15"/>
      <c r="W669" s="15"/>
    </row>
    <row r="670" spans="1:23" ht="15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6"/>
      <c r="R670" s="16"/>
      <c r="S670" s="16"/>
      <c r="T670" s="16"/>
      <c r="U670" s="16"/>
      <c r="V670" s="15"/>
      <c r="W670" s="15"/>
    </row>
    <row r="671" spans="1:23" ht="15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6"/>
      <c r="R671" s="16"/>
      <c r="S671" s="16"/>
      <c r="T671" s="16"/>
      <c r="U671" s="16"/>
      <c r="V671" s="15"/>
      <c r="W671" s="15"/>
    </row>
    <row r="672" spans="1:23" ht="15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6"/>
      <c r="R672" s="16"/>
      <c r="S672" s="16"/>
      <c r="T672" s="16"/>
      <c r="U672" s="16"/>
      <c r="V672" s="15"/>
      <c r="W672" s="15"/>
    </row>
    <row r="673" spans="1:23" ht="15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6"/>
      <c r="R673" s="16"/>
      <c r="S673" s="16"/>
      <c r="T673" s="16"/>
      <c r="U673" s="16"/>
      <c r="V673" s="15"/>
      <c r="W673" s="15"/>
    </row>
    <row r="674" spans="1:23" ht="15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6"/>
      <c r="R674" s="16"/>
      <c r="S674" s="16"/>
      <c r="T674" s="16"/>
      <c r="U674" s="16"/>
      <c r="V674" s="15"/>
      <c r="W674" s="15"/>
    </row>
    <row r="675" spans="1:23" ht="15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6"/>
      <c r="R675" s="16"/>
      <c r="S675" s="16"/>
      <c r="T675" s="16"/>
      <c r="U675" s="16"/>
      <c r="V675" s="15"/>
      <c r="W675" s="15"/>
    </row>
    <row r="676" spans="1:23" ht="15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6"/>
      <c r="R676" s="16"/>
      <c r="S676" s="16"/>
      <c r="T676" s="16"/>
      <c r="U676" s="16"/>
      <c r="V676" s="15"/>
      <c r="W676" s="15"/>
    </row>
    <row r="677" spans="1:23" ht="15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6"/>
      <c r="R677" s="16"/>
      <c r="S677" s="16"/>
      <c r="T677" s="16"/>
      <c r="U677" s="16"/>
      <c r="V677" s="15"/>
      <c r="W677" s="15"/>
    </row>
    <row r="678" spans="1:23" ht="15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6"/>
      <c r="R678" s="16"/>
      <c r="S678" s="16"/>
      <c r="T678" s="16"/>
      <c r="U678" s="16"/>
      <c r="V678" s="15"/>
      <c r="W678" s="15"/>
    </row>
    <row r="679" spans="1:23" ht="15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6"/>
      <c r="R679" s="16"/>
      <c r="S679" s="16"/>
      <c r="T679" s="16"/>
      <c r="U679" s="16"/>
      <c r="V679" s="15"/>
      <c r="W679" s="15"/>
    </row>
    <row r="680" spans="1:23" ht="15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6"/>
      <c r="R680" s="16"/>
      <c r="S680" s="16"/>
      <c r="T680" s="16"/>
      <c r="U680" s="16"/>
      <c r="V680" s="15"/>
      <c r="W680" s="15"/>
    </row>
    <row r="681" spans="1:23" ht="15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6"/>
      <c r="R681" s="16"/>
      <c r="S681" s="16"/>
      <c r="T681" s="16"/>
      <c r="U681" s="16"/>
      <c r="V681" s="15"/>
      <c r="W681" s="15"/>
    </row>
    <row r="682" spans="1:23" ht="15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6"/>
      <c r="R682" s="16"/>
      <c r="S682" s="16"/>
      <c r="T682" s="16"/>
      <c r="U682" s="16"/>
      <c r="V682" s="15"/>
      <c r="W682" s="15"/>
    </row>
    <row r="683" spans="1:23" ht="15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6"/>
      <c r="R683" s="16"/>
      <c r="S683" s="16"/>
      <c r="T683" s="16"/>
      <c r="U683" s="16"/>
      <c r="V683" s="15"/>
      <c r="W683" s="15"/>
    </row>
    <row r="684" spans="1:23" ht="15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6"/>
      <c r="R684" s="16"/>
      <c r="S684" s="16"/>
      <c r="T684" s="16"/>
      <c r="U684" s="16"/>
      <c r="V684" s="15"/>
      <c r="W684" s="15"/>
    </row>
    <row r="685" spans="1:23" ht="15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6"/>
      <c r="R685" s="16"/>
      <c r="S685" s="16"/>
      <c r="T685" s="16"/>
      <c r="U685" s="16"/>
      <c r="V685" s="15"/>
      <c r="W685" s="15"/>
    </row>
    <row r="686" spans="1:23" ht="15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6"/>
      <c r="R686" s="16"/>
      <c r="S686" s="16"/>
      <c r="T686" s="16"/>
      <c r="U686" s="16"/>
      <c r="V686" s="15"/>
      <c r="W686" s="15"/>
    </row>
    <row r="687" spans="1:23" ht="15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6"/>
      <c r="R687" s="16"/>
      <c r="S687" s="16"/>
      <c r="T687" s="16"/>
      <c r="U687" s="16"/>
      <c r="V687" s="15"/>
      <c r="W687" s="15"/>
    </row>
    <row r="688" spans="1:23" ht="15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6"/>
      <c r="R688" s="16"/>
      <c r="S688" s="16"/>
      <c r="T688" s="16"/>
      <c r="U688" s="16"/>
      <c r="V688" s="15"/>
      <c r="W688" s="15"/>
    </row>
    <row r="689" spans="1:23" ht="15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6"/>
      <c r="R689" s="16"/>
      <c r="S689" s="16"/>
      <c r="T689" s="16"/>
      <c r="U689" s="16"/>
      <c r="V689" s="15"/>
      <c r="W689" s="15"/>
    </row>
    <row r="690" spans="1:23" ht="15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6"/>
      <c r="R690" s="16"/>
      <c r="S690" s="16"/>
      <c r="T690" s="16"/>
      <c r="U690" s="16"/>
      <c r="V690" s="15"/>
      <c r="W690" s="15"/>
    </row>
    <row r="691" spans="1:23" ht="15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6"/>
      <c r="R691" s="16"/>
      <c r="S691" s="16"/>
      <c r="T691" s="16"/>
      <c r="U691" s="16"/>
      <c r="V691" s="15"/>
      <c r="W691" s="15"/>
    </row>
    <row r="692" spans="1:23" ht="15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6"/>
      <c r="R692" s="16"/>
      <c r="S692" s="16"/>
      <c r="T692" s="16"/>
      <c r="U692" s="16"/>
      <c r="V692" s="15"/>
      <c r="W692" s="15"/>
    </row>
    <row r="693" spans="1:23" ht="15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6"/>
      <c r="R693" s="16"/>
      <c r="S693" s="16"/>
      <c r="T693" s="16"/>
      <c r="U693" s="16"/>
      <c r="V693" s="15"/>
      <c r="W693" s="15"/>
    </row>
    <row r="694" spans="1:23" ht="15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6"/>
      <c r="R694" s="16"/>
      <c r="S694" s="16"/>
      <c r="T694" s="16"/>
      <c r="U694" s="16"/>
      <c r="V694" s="15"/>
      <c r="W694" s="15"/>
    </row>
    <row r="695" spans="1:23" ht="15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6"/>
      <c r="R695" s="16"/>
      <c r="S695" s="16"/>
      <c r="T695" s="16"/>
      <c r="U695" s="16"/>
      <c r="V695" s="15"/>
      <c r="W695" s="15"/>
    </row>
    <row r="696" spans="1:23" ht="15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6"/>
      <c r="R696" s="16"/>
      <c r="S696" s="16"/>
      <c r="T696" s="16"/>
      <c r="U696" s="16"/>
      <c r="V696" s="15"/>
      <c r="W696" s="15"/>
    </row>
    <row r="697" spans="1:23" ht="15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6"/>
      <c r="R697" s="16"/>
      <c r="S697" s="16"/>
      <c r="T697" s="16"/>
      <c r="U697" s="16"/>
      <c r="V697" s="15"/>
      <c r="W697" s="15"/>
    </row>
    <row r="698" spans="1:23" ht="15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6"/>
      <c r="R698" s="16"/>
      <c r="S698" s="16"/>
      <c r="T698" s="16"/>
      <c r="U698" s="16"/>
      <c r="V698" s="15"/>
      <c r="W698" s="15"/>
    </row>
    <row r="699" spans="1:23" ht="15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6"/>
      <c r="R699" s="16"/>
      <c r="S699" s="16"/>
      <c r="T699" s="16"/>
      <c r="U699" s="16"/>
      <c r="V699" s="15"/>
      <c r="W699" s="15"/>
    </row>
    <row r="700" spans="1:23" ht="15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6"/>
      <c r="R700" s="16"/>
      <c r="S700" s="16"/>
      <c r="T700" s="16"/>
      <c r="U700" s="16"/>
      <c r="V700" s="15"/>
      <c r="W700" s="15"/>
    </row>
    <row r="701" spans="1:23" ht="15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6"/>
      <c r="R701" s="16"/>
      <c r="S701" s="16"/>
      <c r="T701" s="16"/>
      <c r="U701" s="16"/>
      <c r="V701" s="15"/>
      <c r="W701" s="15"/>
    </row>
    <row r="702" spans="1:23" ht="15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6"/>
      <c r="R702" s="16"/>
      <c r="S702" s="16"/>
      <c r="T702" s="16"/>
      <c r="U702" s="16"/>
      <c r="V702" s="15"/>
      <c r="W702" s="15"/>
    </row>
    <row r="703" spans="1:23" ht="15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6"/>
      <c r="R703" s="16"/>
      <c r="S703" s="16"/>
      <c r="T703" s="16"/>
      <c r="U703" s="16"/>
      <c r="V703" s="15"/>
      <c r="W703" s="15"/>
    </row>
    <row r="704" spans="1:23" ht="15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6"/>
      <c r="R704" s="16"/>
      <c r="S704" s="16"/>
      <c r="T704" s="16"/>
      <c r="U704" s="16"/>
      <c r="V704" s="15"/>
      <c r="W704" s="15"/>
    </row>
    <row r="705" spans="1:23" ht="15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6"/>
      <c r="R705" s="16"/>
      <c r="S705" s="16"/>
      <c r="T705" s="16"/>
      <c r="U705" s="16"/>
      <c r="V705" s="15"/>
      <c r="W705" s="15"/>
    </row>
    <row r="706" spans="1:23" ht="15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6"/>
      <c r="R706" s="16"/>
      <c r="S706" s="16"/>
      <c r="T706" s="16"/>
      <c r="U706" s="16"/>
      <c r="V706" s="15"/>
      <c r="W706" s="15"/>
    </row>
    <row r="707" spans="1:23" ht="15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6"/>
      <c r="R707" s="16"/>
      <c r="S707" s="16"/>
      <c r="T707" s="16"/>
      <c r="U707" s="16"/>
      <c r="V707" s="15"/>
      <c r="W707" s="15"/>
    </row>
    <row r="708" spans="1:23" ht="15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6"/>
      <c r="R708" s="16"/>
      <c r="S708" s="16"/>
      <c r="T708" s="16"/>
      <c r="U708" s="16"/>
      <c r="V708" s="15"/>
      <c r="W708" s="15"/>
    </row>
    <row r="709" spans="1:23" ht="15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6"/>
      <c r="R709" s="16"/>
      <c r="S709" s="16"/>
      <c r="T709" s="16"/>
      <c r="U709" s="16"/>
      <c r="V709" s="15"/>
      <c r="W709" s="15"/>
    </row>
    <row r="710" spans="1:23" ht="15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6"/>
      <c r="R710" s="16"/>
      <c r="S710" s="16"/>
      <c r="T710" s="16"/>
      <c r="U710" s="16"/>
      <c r="V710" s="15"/>
      <c r="W710" s="15"/>
    </row>
    <row r="711" spans="1:23" ht="15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6"/>
      <c r="R711" s="16"/>
      <c r="S711" s="16"/>
      <c r="T711" s="16"/>
      <c r="U711" s="16"/>
      <c r="V711" s="15"/>
      <c r="W711" s="15"/>
    </row>
    <row r="712" spans="1:23" ht="15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6"/>
      <c r="R712" s="16"/>
      <c r="S712" s="16"/>
      <c r="T712" s="16"/>
      <c r="U712" s="16"/>
      <c r="V712" s="15"/>
      <c r="W712" s="15"/>
    </row>
    <row r="713" spans="1:23" ht="15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6"/>
      <c r="R713" s="16"/>
      <c r="S713" s="16"/>
      <c r="T713" s="16"/>
      <c r="U713" s="16"/>
      <c r="V713" s="15"/>
      <c r="W713" s="15"/>
    </row>
    <row r="714" spans="1:23" ht="15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6"/>
      <c r="R714" s="16"/>
      <c r="S714" s="16"/>
      <c r="T714" s="16"/>
      <c r="U714" s="16"/>
      <c r="V714" s="15"/>
      <c r="W714" s="15"/>
    </row>
    <row r="715" spans="1:23" ht="15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6"/>
      <c r="R715" s="16"/>
      <c r="S715" s="16"/>
      <c r="T715" s="16"/>
      <c r="U715" s="16"/>
      <c r="V715" s="15"/>
      <c r="W715" s="15"/>
    </row>
    <row r="716" spans="1:23" ht="15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6"/>
      <c r="R716" s="16"/>
      <c r="S716" s="16"/>
      <c r="T716" s="16"/>
      <c r="U716" s="16"/>
      <c r="V716" s="15"/>
      <c r="W716" s="15"/>
    </row>
    <row r="717" spans="1:23" ht="15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6"/>
      <c r="R717" s="16"/>
      <c r="S717" s="16"/>
      <c r="T717" s="16"/>
      <c r="U717" s="16"/>
      <c r="V717" s="15"/>
      <c r="W717" s="15"/>
    </row>
    <row r="718" spans="1:23" ht="15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6"/>
      <c r="R718" s="16"/>
      <c r="S718" s="16"/>
      <c r="T718" s="16"/>
      <c r="U718" s="16"/>
      <c r="V718" s="15"/>
      <c r="W718" s="15"/>
    </row>
    <row r="719" spans="1:23" ht="15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6"/>
      <c r="R719" s="16"/>
      <c r="S719" s="16"/>
      <c r="T719" s="16"/>
      <c r="U719" s="16"/>
      <c r="V719" s="15"/>
      <c r="W719" s="15"/>
    </row>
    <row r="720" spans="1:23" ht="15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6"/>
      <c r="R720" s="16"/>
      <c r="S720" s="16"/>
      <c r="T720" s="16"/>
      <c r="U720" s="16"/>
      <c r="V720" s="15"/>
      <c r="W720" s="15"/>
    </row>
    <row r="721" spans="1:23" ht="15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6"/>
      <c r="R721" s="16"/>
      <c r="S721" s="16"/>
      <c r="T721" s="16"/>
      <c r="U721" s="16"/>
      <c r="V721" s="15"/>
      <c r="W721" s="15"/>
    </row>
    <row r="722" spans="1:23" ht="15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6"/>
      <c r="R722" s="16"/>
      <c r="S722" s="16"/>
      <c r="T722" s="16"/>
      <c r="U722" s="16"/>
      <c r="V722" s="15"/>
      <c r="W722" s="15"/>
    </row>
    <row r="723" spans="1:23" ht="15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6"/>
      <c r="R723" s="16"/>
      <c r="S723" s="16"/>
      <c r="T723" s="16"/>
      <c r="U723" s="16"/>
      <c r="V723" s="15"/>
      <c r="W723" s="15"/>
    </row>
    <row r="724" spans="1:23" ht="15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6"/>
      <c r="R724" s="16"/>
      <c r="S724" s="16"/>
      <c r="T724" s="16"/>
      <c r="U724" s="16"/>
      <c r="V724" s="15"/>
      <c r="W724" s="15"/>
    </row>
    <row r="725" spans="1:23" ht="15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6"/>
      <c r="R725" s="16"/>
      <c r="S725" s="16"/>
      <c r="T725" s="16"/>
      <c r="U725" s="16"/>
      <c r="V725" s="15"/>
      <c r="W725" s="15"/>
    </row>
    <row r="726" spans="1:23" ht="15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6"/>
      <c r="R726" s="16"/>
      <c r="S726" s="16"/>
      <c r="T726" s="16"/>
      <c r="U726" s="16"/>
      <c r="V726" s="15"/>
      <c r="W726" s="15"/>
    </row>
    <row r="727" spans="1:23" ht="15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6"/>
      <c r="R727" s="16"/>
      <c r="S727" s="16"/>
      <c r="T727" s="16"/>
      <c r="U727" s="16"/>
      <c r="V727" s="15"/>
      <c r="W727" s="15"/>
    </row>
    <row r="728" spans="1:23" ht="15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6"/>
      <c r="R728" s="16"/>
      <c r="S728" s="16"/>
      <c r="T728" s="16"/>
      <c r="U728" s="16"/>
      <c r="V728" s="15"/>
      <c r="W728" s="15"/>
    </row>
    <row r="729" spans="1:23" ht="15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6"/>
      <c r="R729" s="16"/>
      <c r="S729" s="16"/>
      <c r="T729" s="16"/>
      <c r="U729" s="16"/>
      <c r="V729" s="15"/>
      <c r="W729" s="15"/>
    </row>
    <row r="730" spans="1:23" ht="15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6"/>
      <c r="R730" s="16"/>
      <c r="S730" s="16"/>
      <c r="T730" s="16"/>
      <c r="U730" s="16"/>
      <c r="V730" s="15"/>
      <c r="W730" s="15"/>
    </row>
    <row r="731" spans="1:23" ht="15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6"/>
      <c r="R731" s="16"/>
      <c r="S731" s="16"/>
      <c r="T731" s="16"/>
      <c r="U731" s="16"/>
      <c r="V731" s="15"/>
      <c r="W731" s="15"/>
    </row>
    <row r="732" spans="1:23" ht="15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6"/>
      <c r="R732" s="16"/>
      <c r="S732" s="16"/>
      <c r="T732" s="16"/>
      <c r="U732" s="16"/>
      <c r="V732" s="15"/>
      <c r="W732" s="15"/>
    </row>
    <row r="733" spans="1:23" ht="15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6"/>
      <c r="R733" s="16"/>
      <c r="S733" s="16"/>
      <c r="T733" s="16"/>
      <c r="U733" s="16"/>
      <c r="V733" s="15"/>
      <c r="W733" s="15"/>
    </row>
    <row r="734" spans="1:23" ht="15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6"/>
      <c r="R734" s="16"/>
      <c r="S734" s="16"/>
      <c r="T734" s="16"/>
      <c r="U734" s="16"/>
      <c r="V734" s="15"/>
      <c r="W734" s="15"/>
    </row>
    <row r="735" spans="1:23" ht="15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6"/>
      <c r="R735" s="16"/>
      <c r="S735" s="16"/>
      <c r="T735" s="16"/>
      <c r="U735" s="16"/>
      <c r="V735" s="15"/>
      <c r="W735" s="15"/>
    </row>
    <row r="736" spans="1:23" ht="15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6"/>
      <c r="R736" s="16"/>
      <c r="S736" s="16"/>
      <c r="T736" s="16"/>
      <c r="U736" s="16"/>
      <c r="V736" s="15"/>
      <c r="W736" s="15"/>
    </row>
    <row r="737" spans="1:23" ht="15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6"/>
      <c r="R737" s="16"/>
      <c r="S737" s="16"/>
      <c r="T737" s="16"/>
      <c r="U737" s="16"/>
      <c r="V737" s="15"/>
      <c r="W737" s="15"/>
    </row>
    <row r="738" spans="1:23" ht="15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6"/>
      <c r="R738" s="16"/>
      <c r="S738" s="16"/>
      <c r="T738" s="16"/>
      <c r="U738" s="16"/>
      <c r="V738" s="15"/>
      <c r="W738" s="15"/>
    </row>
    <row r="739" spans="1:23" ht="15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6"/>
      <c r="R739" s="16"/>
      <c r="S739" s="16"/>
      <c r="T739" s="16"/>
      <c r="U739" s="16"/>
      <c r="V739" s="15"/>
      <c r="W739" s="15"/>
    </row>
    <row r="740" spans="1:23" ht="15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6"/>
      <c r="R740" s="16"/>
      <c r="S740" s="16"/>
      <c r="T740" s="16"/>
      <c r="U740" s="16"/>
      <c r="V740" s="15"/>
      <c r="W740" s="15"/>
    </row>
    <row r="741" spans="1:23" ht="15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6"/>
      <c r="R741" s="16"/>
      <c r="S741" s="16"/>
      <c r="T741" s="16"/>
      <c r="U741" s="16"/>
      <c r="V741" s="15"/>
      <c r="W741" s="15"/>
    </row>
    <row r="742" spans="1:23" ht="15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6"/>
      <c r="R742" s="16"/>
      <c r="S742" s="16"/>
      <c r="T742" s="16"/>
      <c r="U742" s="16"/>
      <c r="V742" s="15"/>
      <c r="W742" s="15"/>
    </row>
    <row r="743" spans="1:23" ht="15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6"/>
      <c r="R743" s="16"/>
      <c r="S743" s="16"/>
      <c r="T743" s="16"/>
      <c r="U743" s="16"/>
      <c r="V743" s="15"/>
      <c r="W743" s="15"/>
    </row>
    <row r="744" spans="1:23" ht="15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6"/>
      <c r="R744" s="16"/>
      <c r="S744" s="16"/>
      <c r="T744" s="16"/>
      <c r="U744" s="16"/>
      <c r="V744" s="15"/>
      <c r="W744" s="15"/>
    </row>
    <row r="745" spans="1:23" ht="15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6"/>
      <c r="R745" s="16"/>
      <c r="S745" s="16"/>
      <c r="T745" s="16"/>
      <c r="U745" s="16"/>
      <c r="V745" s="15"/>
      <c r="W745" s="15"/>
    </row>
    <row r="746" spans="1:23" ht="15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6"/>
      <c r="R746" s="16"/>
      <c r="S746" s="16"/>
      <c r="T746" s="16"/>
      <c r="U746" s="16"/>
      <c r="V746" s="15"/>
      <c r="W746" s="15"/>
    </row>
    <row r="747" spans="1:23" ht="15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6"/>
      <c r="R747" s="16"/>
      <c r="S747" s="16"/>
      <c r="T747" s="16"/>
      <c r="U747" s="16"/>
      <c r="V747" s="15"/>
      <c r="W747" s="15"/>
    </row>
    <row r="748" spans="1:23" ht="15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6"/>
      <c r="R748" s="16"/>
      <c r="S748" s="16"/>
      <c r="T748" s="16"/>
      <c r="U748" s="16"/>
      <c r="V748" s="15"/>
      <c r="W748" s="15"/>
    </row>
    <row r="749" spans="1:23" ht="15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6"/>
      <c r="R749" s="16"/>
      <c r="S749" s="16"/>
      <c r="T749" s="16"/>
      <c r="U749" s="16"/>
      <c r="V749" s="15"/>
      <c r="W749" s="15"/>
    </row>
    <row r="750" spans="1:23" ht="15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6"/>
      <c r="R750" s="16"/>
      <c r="S750" s="16"/>
      <c r="T750" s="16"/>
      <c r="U750" s="16"/>
      <c r="V750" s="15"/>
      <c r="W750" s="15"/>
    </row>
    <row r="751" spans="1:23" ht="15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6"/>
      <c r="R751" s="16"/>
      <c r="S751" s="16"/>
      <c r="T751" s="16"/>
      <c r="U751" s="16"/>
      <c r="V751" s="15"/>
      <c r="W751" s="15"/>
    </row>
    <row r="752" spans="1:23" ht="15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6"/>
      <c r="R752" s="16"/>
      <c r="S752" s="16"/>
      <c r="T752" s="16"/>
      <c r="U752" s="16"/>
      <c r="V752" s="15"/>
      <c r="W752" s="15"/>
    </row>
    <row r="753" spans="1:23" ht="15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6"/>
      <c r="R753" s="16"/>
      <c r="S753" s="16"/>
      <c r="T753" s="16"/>
      <c r="U753" s="16"/>
      <c r="V753" s="15"/>
      <c r="W753" s="15"/>
    </row>
    <row r="754" spans="1:23" ht="15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6"/>
      <c r="R754" s="16"/>
      <c r="S754" s="16"/>
      <c r="T754" s="16"/>
      <c r="U754" s="16"/>
      <c r="V754" s="15"/>
      <c r="W754" s="15"/>
    </row>
    <row r="755" spans="1:23" ht="15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6"/>
      <c r="R755" s="16"/>
      <c r="S755" s="16"/>
      <c r="T755" s="16"/>
      <c r="U755" s="16"/>
      <c r="V755" s="15"/>
      <c r="W755" s="15"/>
    </row>
    <row r="756" spans="1:23" ht="15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6"/>
      <c r="R756" s="16"/>
      <c r="S756" s="16"/>
      <c r="T756" s="16"/>
      <c r="U756" s="16"/>
      <c r="V756" s="15"/>
      <c r="W756" s="15"/>
    </row>
    <row r="757" spans="1:23" ht="15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6"/>
      <c r="R757" s="16"/>
      <c r="S757" s="16"/>
      <c r="T757" s="16"/>
      <c r="U757" s="16"/>
      <c r="V757" s="15"/>
      <c r="W757" s="15"/>
    </row>
    <row r="758" spans="1:23" ht="15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6"/>
      <c r="R758" s="16"/>
      <c r="S758" s="16"/>
      <c r="T758" s="16"/>
      <c r="U758" s="16"/>
      <c r="V758" s="15"/>
      <c r="W758" s="15"/>
    </row>
    <row r="759" spans="1:23" ht="15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6"/>
      <c r="R759" s="16"/>
      <c r="S759" s="16"/>
      <c r="T759" s="16"/>
      <c r="U759" s="16"/>
      <c r="V759" s="15"/>
      <c r="W759" s="15"/>
    </row>
    <row r="760" spans="1:23" ht="15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6"/>
      <c r="R760" s="16"/>
      <c r="S760" s="16"/>
      <c r="T760" s="16"/>
      <c r="U760" s="16"/>
      <c r="V760" s="15"/>
      <c r="W760" s="15"/>
    </row>
    <row r="761" spans="1:23" ht="15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6"/>
      <c r="R761" s="16"/>
      <c r="S761" s="16"/>
      <c r="T761" s="16"/>
      <c r="U761" s="16"/>
      <c r="V761" s="15"/>
      <c r="W761" s="15"/>
    </row>
    <row r="762" spans="1:23" ht="15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6"/>
      <c r="R762" s="16"/>
      <c r="S762" s="16"/>
      <c r="T762" s="16"/>
      <c r="U762" s="16"/>
      <c r="V762" s="15"/>
      <c r="W762" s="15"/>
    </row>
    <row r="763" spans="1:23" ht="15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6"/>
      <c r="R763" s="16"/>
      <c r="S763" s="16"/>
      <c r="T763" s="16"/>
      <c r="U763" s="16"/>
      <c r="V763" s="15"/>
      <c r="W763" s="15"/>
    </row>
    <row r="764" spans="1:23" ht="15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6"/>
      <c r="R764" s="16"/>
      <c r="S764" s="16"/>
      <c r="T764" s="16"/>
      <c r="U764" s="16"/>
      <c r="V764" s="15"/>
      <c r="W764" s="15"/>
    </row>
    <row r="765" spans="1:23" ht="15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6"/>
      <c r="R765" s="16"/>
      <c r="S765" s="16"/>
      <c r="T765" s="16"/>
      <c r="U765" s="16"/>
      <c r="V765" s="15"/>
      <c r="W765" s="15"/>
    </row>
    <row r="766" spans="1:23" ht="15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6"/>
      <c r="R766" s="16"/>
      <c r="S766" s="16"/>
      <c r="T766" s="16"/>
      <c r="U766" s="16"/>
      <c r="V766" s="15"/>
      <c r="W766" s="15"/>
    </row>
    <row r="767" spans="1:23" ht="15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6"/>
      <c r="R767" s="16"/>
      <c r="S767" s="16"/>
      <c r="T767" s="16"/>
      <c r="U767" s="16"/>
      <c r="V767" s="15"/>
      <c r="W767" s="15"/>
    </row>
    <row r="768" spans="1:23" ht="15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6"/>
      <c r="R768" s="16"/>
      <c r="S768" s="16"/>
      <c r="T768" s="16"/>
      <c r="U768" s="16"/>
      <c r="V768" s="15"/>
      <c r="W768" s="15"/>
    </row>
    <row r="769" spans="1:23" ht="15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6"/>
      <c r="R769" s="16"/>
      <c r="S769" s="16"/>
      <c r="T769" s="16"/>
      <c r="U769" s="16"/>
      <c r="V769" s="15"/>
      <c r="W769" s="15"/>
    </row>
    <row r="770" spans="1:23" ht="15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6"/>
      <c r="R770" s="16"/>
      <c r="S770" s="16"/>
      <c r="T770" s="16"/>
      <c r="U770" s="16"/>
      <c r="V770" s="15"/>
      <c r="W770" s="15"/>
    </row>
    <row r="771" spans="1:23" ht="15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6"/>
      <c r="R771" s="16"/>
      <c r="S771" s="16"/>
      <c r="T771" s="16"/>
      <c r="U771" s="16"/>
      <c r="V771" s="15"/>
      <c r="W771" s="15"/>
    </row>
    <row r="772" spans="1:23" ht="15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6"/>
      <c r="R772" s="16"/>
      <c r="S772" s="16"/>
      <c r="T772" s="16"/>
      <c r="U772" s="16"/>
      <c r="V772" s="15"/>
      <c r="W772" s="15"/>
    </row>
    <row r="773" spans="1:23" ht="15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6"/>
      <c r="R773" s="16"/>
      <c r="S773" s="16"/>
      <c r="T773" s="16"/>
      <c r="U773" s="16"/>
      <c r="V773" s="15"/>
      <c r="W773" s="15"/>
    </row>
    <row r="774" spans="1:23" ht="15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6"/>
      <c r="R774" s="16"/>
      <c r="S774" s="16"/>
      <c r="T774" s="16"/>
      <c r="U774" s="16"/>
      <c r="V774" s="15"/>
      <c r="W774" s="15"/>
    </row>
    <row r="775" spans="1:23" ht="15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6"/>
      <c r="R775" s="16"/>
      <c r="S775" s="16"/>
      <c r="T775" s="16"/>
      <c r="U775" s="16"/>
      <c r="V775" s="15"/>
      <c r="W775" s="15"/>
    </row>
    <row r="776" spans="1:23" ht="15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6"/>
      <c r="R776" s="16"/>
      <c r="S776" s="16"/>
      <c r="T776" s="16"/>
      <c r="U776" s="16"/>
      <c r="V776" s="15"/>
      <c r="W776" s="15"/>
    </row>
    <row r="777" spans="1:23" ht="15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6"/>
      <c r="R777" s="16"/>
      <c r="S777" s="16"/>
      <c r="T777" s="16"/>
      <c r="U777" s="16"/>
      <c r="V777" s="15"/>
      <c r="W777" s="15"/>
    </row>
    <row r="778" spans="1:23" ht="15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6"/>
      <c r="R778" s="16"/>
      <c r="S778" s="16"/>
      <c r="T778" s="16"/>
      <c r="U778" s="16"/>
      <c r="V778" s="15"/>
      <c r="W778" s="15"/>
    </row>
    <row r="779" spans="1:23" ht="15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6"/>
      <c r="R779" s="16"/>
      <c r="S779" s="16"/>
      <c r="T779" s="16"/>
      <c r="U779" s="16"/>
      <c r="V779" s="15"/>
      <c r="W779" s="15"/>
    </row>
    <row r="780" spans="1:23" ht="15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6"/>
      <c r="R780" s="16"/>
      <c r="S780" s="16"/>
      <c r="T780" s="16"/>
      <c r="U780" s="16"/>
      <c r="V780" s="15"/>
      <c r="W780" s="15"/>
    </row>
    <row r="781" spans="1:23" ht="15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6"/>
      <c r="R781" s="16"/>
      <c r="S781" s="16"/>
      <c r="T781" s="16"/>
      <c r="U781" s="16"/>
      <c r="V781" s="15"/>
      <c r="W781" s="15"/>
    </row>
    <row r="782" spans="1:23" ht="15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6"/>
      <c r="R782" s="16"/>
      <c r="S782" s="16"/>
      <c r="T782" s="16"/>
      <c r="U782" s="16"/>
      <c r="V782" s="15"/>
      <c r="W782" s="15"/>
    </row>
    <row r="783" spans="1:23" ht="15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6"/>
      <c r="R783" s="16"/>
      <c r="S783" s="16"/>
      <c r="T783" s="16"/>
      <c r="U783" s="16"/>
      <c r="V783" s="15"/>
      <c r="W783" s="15"/>
    </row>
    <row r="784" spans="1:23" ht="15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6"/>
      <c r="R784" s="16"/>
      <c r="S784" s="16"/>
      <c r="T784" s="16"/>
      <c r="U784" s="16"/>
      <c r="V784" s="15"/>
      <c r="W784" s="15"/>
    </row>
    <row r="785" spans="1:23" ht="15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6"/>
      <c r="R785" s="16"/>
      <c r="S785" s="16"/>
      <c r="T785" s="16"/>
      <c r="U785" s="16"/>
      <c r="V785" s="15"/>
      <c r="W785" s="15"/>
    </row>
    <row r="786" spans="1:23" ht="15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6"/>
      <c r="R786" s="16"/>
      <c r="S786" s="16"/>
      <c r="T786" s="16"/>
      <c r="U786" s="16"/>
      <c r="V786" s="15"/>
      <c r="W786" s="15"/>
    </row>
    <row r="787" spans="1:23" ht="15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6"/>
      <c r="R787" s="16"/>
      <c r="S787" s="16"/>
      <c r="T787" s="16"/>
      <c r="U787" s="16"/>
      <c r="V787" s="15"/>
      <c r="W787" s="15"/>
    </row>
    <row r="788" spans="1:23" ht="15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6"/>
      <c r="R788" s="16"/>
      <c r="S788" s="16"/>
      <c r="T788" s="16"/>
      <c r="U788" s="16"/>
      <c r="V788" s="15"/>
      <c r="W788" s="15"/>
    </row>
    <row r="789" spans="1:23" ht="15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6"/>
      <c r="R789" s="16"/>
      <c r="S789" s="16"/>
      <c r="T789" s="16"/>
      <c r="U789" s="16"/>
      <c r="V789" s="15"/>
      <c r="W789" s="15"/>
    </row>
    <row r="790" spans="1:23" ht="15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6"/>
      <c r="R790" s="16"/>
      <c r="S790" s="16"/>
      <c r="T790" s="16"/>
      <c r="U790" s="16"/>
      <c r="V790" s="15"/>
      <c r="W790" s="15"/>
    </row>
    <row r="791" spans="1:23" ht="15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6"/>
      <c r="R791" s="16"/>
      <c r="S791" s="16"/>
      <c r="T791" s="16"/>
      <c r="U791" s="16"/>
      <c r="V791" s="15"/>
      <c r="W791" s="15"/>
    </row>
    <row r="792" spans="1:23" ht="15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6"/>
      <c r="R792" s="16"/>
      <c r="S792" s="16"/>
      <c r="T792" s="16"/>
      <c r="U792" s="16"/>
      <c r="V792" s="15"/>
      <c r="W792" s="15"/>
    </row>
    <row r="793" spans="1:23" ht="15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6"/>
      <c r="R793" s="16"/>
      <c r="S793" s="16"/>
      <c r="T793" s="16"/>
      <c r="U793" s="16"/>
      <c r="V793" s="15"/>
      <c r="W793" s="15"/>
    </row>
    <row r="794" spans="1:23" ht="15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6"/>
      <c r="R794" s="16"/>
      <c r="S794" s="16"/>
      <c r="T794" s="16"/>
      <c r="U794" s="16"/>
      <c r="V794" s="15"/>
      <c r="W794" s="15"/>
    </row>
    <row r="795" spans="1:23" ht="15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6"/>
      <c r="R795" s="16"/>
      <c r="S795" s="16"/>
      <c r="T795" s="16"/>
      <c r="U795" s="16"/>
      <c r="V795" s="15"/>
      <c r="W795" s="15"/>
    </row>
    <row r="796" spans="1:23" ht="15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6"/>
      <c r="R796" s="16"/>
      <c r="S796" s="16"/>
      <c r="T796" s="16"/>
      <c r="U796" s="16"/>
      <c r="V796" s="15"/>
      <c r="W796" s="15"/>
    </row>
    <row r="797" spans="1:23" ht="15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6"/>
      <c r="R797" s="16"/>
      <c r="S797" s="16"/>
      <c r="T797" s="16"/>
      <c r="U797" s="16"/>
      <c r="V797" s="15"/>
      <c r="W797" s="15"/>
    </row>
    <row r="798" spans="1:23" ht="15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6"/>
      <c r="R798" s="16"/>
      <c r="S798" s="16"/>
      <c r="T798" s="16"/>
      <c r="U798" s="16"/>
      <c r="V798" s="15"/>
      <c r="W798" s="15"/>
    </row>
    <row r="799" spans="1:23" ht="15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6"/>
      <c r="R799" s="16"/>
      <c r="S799" s="16"/>
      <c r="T799" s="16"/>
      <c r="U799" s="16"/>
      <c r="V799" s="15"/>
      <c r="W799" s="15"/>
    </row>
    <row r="800" spans="1:23" ht="15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6"/>
      <c r="R800" s="16"/>
      <c r="S800" s="16"/>
      <c r="T800" s="16"/>
      <c r="U800" s="16"/>
      <c r="V800" s="15"/>
      <c r="W800" s="15"/>
    </row>
    <row r="801" spans="1:23" ht="15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6"/>
      <c r="R801" s="16"/>
      <c r="S801" s="16"/>
      <c r="T801" s="16"/>
      <c r="U801" s="16"/>
      <c r="V801" s="15"/>
      <c r="W801" s="15"/>
    </row>
    <row r="802" spans="1:23" ht="15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6"/>
      <c r="R802" s="16"/>
      <c r="S802" s="16"/>
      <c r="T802" s="16"/>
      <c r="U802" s="16"/>
      <c r="V802" s="15"/>
      <c r="W802" s="15"/>
    </row>
    <row r="803" spans="1:23" ht="15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6"/>
      <c r="R803" s="16"/>
      <c r="S803" s="16"/>
      <c r="T803" s="16"/>
      <c r="U803" s="16"/>
      <c r="V803" s="15"/>
      <c r="W803" s="15"/>
    </row>
    <row r="804" spans="1:23" ht="15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6"/>
      <c r="R804" s="16"/>
      <c r="S804" s="16"/>
      <c r="T804" s="16"/>
      <c r="U804" s="16"/>
      <c r="V804" s="15"/>
      <c r="W804" s="15"/>
    </row>
    <row r="805" spans="1:23" ht="15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6"/>
      <c r="R805" s="16"/>
      <c r="S805" s="16"/>
      <c r="T805" s="16"/>
      <c r="U805" s="16"/>
      <c r="V805" s="15"/>
      <c r="W805" s="15"/>
    </row>
    <row r="806" spans="1:23" ht="15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6"/>
      <c r="R806" s="16"/>
      <c r="S806" s="16"/>
      <c r="T806" s="16"/>
      <c r="U806" s="16"/>
      <c r="V806" s="15"/>
      <c r="W806" s="15"/>
    </row>
    <row r="807" spans="1:23" ht="15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6"/>
      <c r="R807" s="16"/>
      <c r="S807" s="16"/>
      <c r="T807" s="16"/>
      <c r="U807" s="16"/>
      <c r="V807" s="15"/>
      <c r="W807" s="15"/>
    </row>
    <row r="808" spans="1:23" ht="15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6"/>
      <c r="R808" s="16"/>
      <c r="S808" s="16"/>
      <c r="T808" s="16"/>
      <c r="U808" s="16"/>
      <c r="V808" s="15"/>
      <c r="W808" s="15"/>
    </row>
    <row r="809" spans="1:23" ht="15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6"/>
      <c r="R809" s="16"/>
      <c r="S809" s="16"/>
      <c r="T809" s="16"/>
      <c r="U809" s="16"/>
      <c r="V809" s="15"/>
      <c r="W809" s="15"/>
    </row>
    <row r="810" spans="1:23" ht="15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6"/>
      <c r="R810" s="16"/>
      <c r="S810" s="16"/>
      <c r="T810" s="16"/>
      <c r="U810" s="16"/>
      <c r="V810" s="15"/>
      <c r="W810" s="15"/>
    </row>
    <row r="811" spans="1:23" ht="15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6"/>
      <c r="R811" s="16"/>
      <c r="S811" s="16"/>
      <c r="T811" s="16"/>
      <c r="U811" s="16"/>
      <c r="V811" s="15"/>
      <c r="W811" s="15"/>
    </row>
    <row r="812" spans="1:23" ht="15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6"/>
      <c r="R812" s="16"/>
      <c r="S812" s="16"/>
      <c r="T812" s="16"/>
      <c r="U812" s="16"/>
      <c r="V812" s="15"/>
      <c r="W812" s="15"/>
    </row>
    <row r="813" spans="1:23" ht="15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6"/>
      <c r="R813" s="16"/>
      <c r="S813" s="16"/>
      <c r="T813" s="16"/>
      <c r="U813" s="16"/>
      <c r="V813" s="15"/>
      <c r="W813" s="15"/>
    </row>
    <row r="814" spans="1:23" ht="15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6"/>
      <c r="R814" s="16"/>
      <c r="S814" s="16"/>
      <c r="T814" s="16"/>
      <c r="U814" s="16"/>
      <c r="V814" s="15"/>
      <c r="W814" s="15"/>
    </row>
    <row r="815" spans="1:23" ht="15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6"/>
      <c r="R815" s="16"/>
      <c r="S815" s="16"/>
      <c r="T815" s="16"/>
      <c r="U815" s="16"/>
      <c r="V815" s="15"/>
      <c r="W815" s="15"/>
    </row>
    <row r="816" spans="1:23" ht="15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6"/>
      <c r="R816" s="16"/>
      <c r="S816" s="16"/>
      <c r="T816" s="16"/>
      <c r="U816" s="16"/>
      <c r="V816" s="15"/>
      <c r="W816" s="15"/>
    </row>
    <row r="817" spans="1:23" ht="15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6"/>
      <c r="R817" s="16"/>
      <c r="S817" s="16"/>
      <c r="T817" s="16"/>
      <c r="U817" s="16"/>
      <c r="V817" s="15"/>
      <c r="W817" s="15"/>
    </row>
    <row r="818" spans="1:23" ht="15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6"/>
      <c r="R818" s="16"/>
      <c r="S818" s="16"/>
      <c r="T818" s="16"/>
      <c r="U818" s="16"/>
      <c r="V818" s="15"/>
      <c r="W818" s="15"/>
    </row>
    <row r="819" spans="1:23" ht="15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6"/>
      <c r="R819" s="16"/>
      <c r="S819" s="16"/>
      <c r="T819" s="16"/>
      <c r="U819" s="16"/>
      <c r="V819" s="15"/>
      <c r="W819" s="15"/>
    </row>
    <row r="820" spans="1:23" ht="15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6"/>
      <c r="R820" s="16"/>
      <c r="S820" s="16"/>
      <c r="T820" s="16"/>
      <c r="U820" s="16"/>
      <c r="V820" s="15"/>
      <c r="W820" s="15"/>
    </row>
    <row r="821" spans="1:23" ht="15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6"/>
      <c r="R821" s="16"/>
      <c r="S821" s="16"/>
      <c r="T821" s="16"/>
      <c r="U821" s="16"/>
      <c r="V821" s="15"/>
      <c r="W821" s="15"/>
    </row>
    <row r="822" spans="1:23" ht="15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6"/>
      <c r="R822" s="16"/>
      <c r="S822" s="16"/>
      <c r="T822" s="16"/>
      <c r="U822" s="16"/>
      <c r="V822" s="15"/>
      <c r="W822" s="15"/>
    </row>
    <row r="823" spans="1:23" ht="15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6"/>
      <c r="R823" s="16"/>
      <c r="S823" s="16"/>
      <c r="T823" s="16"/>
      <c r="U823" s="16"/>
      <c r="V823" s="15"/>
      <c r="W823" s="15"/>
    </row>
    <row r="824" spans="1:23" ht="15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6"/>
      <c r="R824" s="16"/>
      <c r="S824" s="16"/>
      <c r="T824" s="16"/>
      <c r="U824" s="16"/>
      <c r="V824" s="15"/>
      <c r="W824" s="15"/>
    </row>
    <row r="825" spans="1:23" ht="15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6"/>
      <c r="R825" s="16"/>
      <c r="S825" s="16"/>
      <c r="T825" s="16"/>
      <c r="U825" s="16"/>
      <c r="V825" s="15"/>
      <c r="W825" s="15"/>
    </row>
    <row r="826" spans="1:23" ht="15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6"/>
      <c r="R826" s="16"/>
      <c r="S826" s="16"/>
      <c r="T826" s="16"/>
      <c r="U826" s="16"/>
      <c r="V826" s="15"/>
      <c r="W826" s="15"/>
    </row>
    <row r="827" spans="1:23" ht="15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6"/>
      <c r="R827" s="16"/>
      <c r="S827" s="16"/>
      <c r="T827" s="16"/>
      <c r="U827" s="16"/>
      <c r="V827" s="15"/>
      <c r="W827" s="15"/>
    </row>
    <row r="828" spans="1:23" ht="15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6"/>
      <c r="R828" s="16"/>
      <c r="S828" s="16"/>
      <c r="T828" s="16"/>
      <c r="U828" s="16"/>
      <c r="V828" s="15"/>
      <c r="W828" s="15"/>
    </row>
    <row r="829" spans="1:23" ht="15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6"/>
      <c r="R829" s="16"/>
      <c r="S829" s="16"/>
      <c r="T829" s="16"/>
      <c r="U829" s="16"/>
      <c r="V829" s="15"/>
      <c r="W829" s="15"/>
    </row>
    <row r="830" spans="1:23" ht="15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6"/>
      <c r="R830" s="16"/>
      <c r="S830" s="16"/>
      <c r="T830" s="16"/>
      <c r="U830" s="16"/>
      <c r="V830" s="15"/>
      <c r="W830" s="15"/>
    </row>
    <row r="831" spans="1:23" ht="15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6"/>
      <c r="R831" s="16"/>
      <c r="S831" s="16"/>
      <c r="T831" s="16"/>
      <c r="U831" s="16"/>
      <c r="V831" s="15"/>
      <c r="W831" s="15"/>
    </row>
    <row r="832" spans="1:23" ht="15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6"/>
      <c r="R832" s="16"/>
      <c r="S832" s="16"/>
      <c r="T832" s="16"/>
      <c r="U832" s="16"/>
      <c r="V832" s="15"/>
      <c r="W832" s="15"/>
    </row>
    <row r="833" spans="1:23" ht="15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6"/>
      <c r="R833" s="16"/>
      <c r="S833" s="16"/>
      <c r="T833" s="16"/>
      <c r="U833" s="16"/>
      <c r="V833" s="15"/>
      <c r="W833" s="15"/>
    </row>
    <row r="834" spans="1:23" ht="15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6"/>
      <c r="R834" s="16"/>
      <c r="S834" s="16"/>
      <c r="T834" s="16"/>
      <c r="U834" s="16"/>
      <c r="V834" s="15"/>
      <c r="W834" s="15"/>
    </row>
    <row r="835" spans="1:23" ht="15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6"/>
      <c r="R835" s="16"/>
      <c r="S835" s="16"/>
      <c r="T835" s="16"/>
      <c r="U835" s="16"/>
      <c r="V835" s="15"/>
      <c r="W835" s="15"/>
    </row>
    <row r="836" spans="1:23" ht="15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6"/>
      <c r="R836" s="16"/>
      <c r="S836" s="16"/>
      <c r="T836" s="16"/>
      <c r="U836" s="16"/>
      <c r="V836" s="15"/>
      <c r="W836" s="15"/>
    </row>
    <row r="837" spans="1:23" ht="15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6"/>
      <c r="R837" s="16"/>
      <c r="S837" s="16"/>
      <c r="T837" s="16"/>
      <c r="U837" s="16"/>
      <c r="V837" s="15"/>
      <c r="W837" s="15"/>
    </row>
    <row r="838" spans="1:23" ht="15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6"/>
      <c r="R838" s="16"/>
      <c r="S838" s="16"/>
      <c r="T838" s="16"/>
      <c r="U838" s="16"/>
      <c r="V838" s="15"/>
      <c r="W838" s="15"/>
    </row>
    <row r="839" spans="1:23" ht="15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6"/>
      <c r="R839" s="16"/>
      <c r="S839" s="16"/>
      <c r="T839" s="16"/>
      <c r="U839" s="16"/>
      <c r="V839" s="15"/>
      <c r="W839" s="15"/>
    </row>
    <row r="840" spans="1:23" ht="15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6"/>
      <c r="R840" s="16"/>
      <c r="S840" s="16"/>
      <c r="T840" s="16"/>
      <c r="U840" s="16"/>
      <c r="V840" s="15"/>
      <c r="W840" s="15"/>
    </row>
    <row r="841" spans="1:23" ht="15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6"/>
      <c r="R841" s="16"/>
      <c r="S841" s="16"/>
      <c r="T841" s="16"/>
      <c r="U841" s="16"/>
      <c r="V841" s="15"/>
      <c r="W841" s="15"/>
    </row>
    <row r="842" spans="1:23" ht="15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6"/>
      <c r="R842" s="16"/>
      <c r="S842" s="16"/>
      <c r="T842" s="16"/>
      <c r="U842" s="16"/>
      <c r="V842" s="15"/>
      <c r="W842" s="15"/>
    </row>
    <row r="843" spans="1:23" ht="15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6"/>
      <c r="R843" s="16"/>
      <c r="S843" s="16"/>
      <c r="T843" s="16"/>
      <c r="U843" s="16"/>
      <c r="V843" s="15"/>
      <c r="W843" s="15"/>
    </row>
    <row r="844" spans="1:23" ht="15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6"/>
      <c r="R844" s="16"/>
      <c r="S844" s="16"/>
      <c r="T844" s="16"/>
      <c r="U844" s="16"/>
      <c r="V844" s="15"/>
      <c r="W844" s="15"/>
    </row>
    <row r="845" spans="1:23" ht="15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6"/>
      <c r="R845" s="16"/>
      <c r="S845" s="16"/>
      <c r="T845" s="16"/>
      <c r="U845" s="16"/>
      <c r="V845" s="15"/>
      <c r="W845" s="15"/>
    </row>
    <row r="846" spans="1:23" ht="15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6"/>
      <c r="R846" s="16"/>
      <c r="S846" s="16"/>
      <c r="T846" s="16"/>
      <c r="U846" s="16"/>
      <c r="V846" s="15"/>
      <c r="W846" s="15"/>
    </row>
    <row r="847" spans="1:23" ht="15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6"/>
      <c r="R847" s="16"/>
      <c r="S847" s="16"/>
      <c r="T847" s="16"/>
      <c r="U847" s="16"/>
      <c r="V847" s="15"/>
      <c r="W847" s="15"/>
    </row>
    <row r="848" spans="1:23" ht="15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6"/>
      <c r="R848" s="16"/>
      <c r="S848" s="16"/>
      <c r="T848" s="16"/>
      <c r="U848" s="16"/>
      <c r="V848" s="15"/>
      <c r="W848" s="15"/>
    </row>
    <row r="849" spans="1:23" ht="15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6"/>
      <c r="R849" s="16"/>
      <c r="S849" s="16"/>
      <c r="T849" s="16"/>
      <c r="U849" s="16"/>
      <c r="V849" s="15"/>
      <c r="W849" s="15"/>
    </row>
    <row r="850" spans="1:23" ht="15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6"/>
      <c r="R850" s="16"/>
      <c r="S850" s="16"/>
      <c r="T850" s="16"/>
      <c r="U850" s="16"/>
      <c r="V850" s="15"/>
      <c r="W850" s="15"/>
    </row>
    <row r="851" spans="1:23" ht="15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6"/>
      <c r="R851" s="16"/>
      <c r="S851" s="16"/>
      <c r="T851" s="16"/>
      <c r="U851" s="16"/>
      <c r="V851" s="15"/>
      <c r="W851" s="15"/>
    </row>
    <row r="852" spans="1:23" ht="15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6"/>
      <c r="R852" s="16"/>
      <c r="S852" s="16"/>
      <c r="T852" s="16"/>
      <c r="U852" s="16"/>
      <c r="V852" s="15"/>
      <c r="W852" s="15"/>
    </row>
    <row r="853" spans="1:23" ht="15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6"/>
      <c r="R853" s="16"/>
      <c r="S853" s="16"/>
      <c r="T853" s="16"/>
      <c r="U853" s="16"/>
      <c r="V853" s="15"/>
      <c r="W853" s="15"/>
    </row>
    <row r="854" spans="1:23" ht="15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6"/>
      <c r="R854" s="16"/>
      <c r="S854" s="16"/>
      <c r="T854" s="16"/>
      <c r="U854" s="16"/>
      <c r="V854" s="15"/>
      <c r="W854" s="15"/>
    </row>
    <row r="855" spans="1:23" ht="15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6"/>
      <c r="R855" s="16"/>
      <c r="S855" s="16"/>
      <c r="T855" s="16"/>
      <c r="U855" s="16"/>
      <c r="V855" s="15"/>
      <c r="W855" s="15"/>
    </row>
    <row r="856" spans="1:23" ht="15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6"/>
      <c r="R856" s="16"/>
      <c r="S856" s="16"/>
      <c r="T856" s="16"/>
      <c r="U856" s="16"/>
      <c r="V856" s="15"/>
      <c r="W856" s="15"/>
    </row>
    <row r="857" spans="1:23" ht="15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6"/>
      <c r="R857" s="16"/>
      <c r="S857" s="16"/>
      <c r="T857" s="16"/>
      <c r="U857" s="16"/>
      <c r="V857" s="15"/>
      <c r="W857" s="15"/>
    </row>
    <row r="858" spans="1:23" ht="15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6"/>
      <c r="R858" s="16"/>
      <c r="S858" s="16"/>
      <c r="T858" s="16"/>
      <c r="U858" s="16"/>
      <c r="V858" s="15"/>
      <c r="W858" s="15"/>
    </row>
    <row r="859" spans="1:23" ht="15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6"/>
      <c r="R859" s="16"/>
      <c r="S859" s="16"/>
      <c r="T859" s="16"/>
      <c r="U859" s="16"/>
      <c r="V859" s="15"/>
      <c r="W859" s="15"/>
    </row>
    <row r="860" spans="1:23" ht="15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6"/>
      <c r="R860" s="16"/>
      <c r="S860" s="16"/>
      <c r="T860" s="16"/>
      <c r="U860" s="16"/>
      <c r="V860" s="15"/>
      <c r="W860" s="15"/>
    </row>
    <row r="861" spans="1:23" ht="15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6"/>
      <c r="R861" s="16"/>
      <c r="S861" s="16"/>
      <c r="T861" s="16"/>
      <c r="U861" s="16"/>
      <c r="V861" s="15"/>
      <c r="W861" s="15"/>
    </row>
    <row r="862" spans="1:23" ht="15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6"/>
      <c r="R862" s="16"/>
      <c r="S862" s="16"/>
      <c r="T862" s="16"/>
      <c r="U862" s="16"/>
      <c r="V862" s="15"/>
      <c r="W862" s="15"/>
    </row>
    <row r="863" spans="1:23" ht="15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6"/>
      <c r="R863" s="16"/>
      <c r="S863" s="16"/>
      <c r="T863" s="16"/>
      <c r="U863" s="16"/>
      <c r="V863" s="15"/>
      <c r="W863" s="15"/>
    </row>
    <row r="864" spans="1:23" ht="15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6"/>
      <c r="R864" s="16"/>
      <c r="S864" s="16"/>
      <c r="T864" s="16"/>
      <c r="U864" s="16"/>
      <c r="V864" s="15"/>
      <c r="W864" s="15"/>
    </row>
    <row r="865" spans="1:23" ht="15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6"/>
      <c r="R865" s="16"/>
      <c r="S865" s="16"/>
      <c r="T865" s="16"/>
      <c r="U865" s="16"/>
      <c r="V865" s="15"/>
      <c r="W865" s="15"/>
    </row>
    <row r="866" spans="1:23" ht="15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6"/>
      <c r="R866" s="16"/>
      <c r="S866" s="16"/>
      <c r="T866" s="16"/>
      <c r="U866" s="16"/>
      <c r="V866" s="15"/>
      <c r="W866" s="15"/>
    </row>
    <row r="867" spans="1:23" ht="15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6"/>
      <c r="R867" s="16"/>
      <c r="S867" s="16"/>
      <c r="T867" s="16"/>
      <c r="U867" s="16"/>
      <c r="V867" s="15"/>
      <c r="W867" s="15"/>
    </row>
    <row r="868" spans="1:23" ht="15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6"/>
      <c r="R868" s="16"/>
      <c r="S868" s="16"/>
      <c r="T868" s="16"/>
      <c r="U868" s="16"/>
      <c r="V868" s="15"/>
      <c r="W868" s="15"/>
    </row>
    <row r="869" spans="1:23" ht="15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6"/>
      <c r="R869" s="16"/>
      <c r="S869" s="16"/>
      <c r="T869" s="16"/>
      <c r="U869" s="16"/>
      <c r="V869" s="15"/>
      <c r="W869" s="15"/>
    </row>
    <row r="870" spans="1:23" ht="15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6"/>
      <c r="R870" s="16"/>
      <c r="S870" s="16"/>
      <c r="T870" s="16"/>
      <c r="U870" s="16"/>
      <c r="V870" s="15"/>
      <c r="W870" s="15"/>
    </row>
    <row r="871" spans="1:23" ht="15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6"/>
      <c r="R871" s="16"/>
      <c r="S871" s="16"/>
      <c r="T871" s="16"/>
      <c r="U871" s="16"/>
      <c r="V871" s="15"/>
      <c r="W871" s="15"/>
    </row>
    <row r="872" spans="1:23" ht="15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6"/>
      <c r="R872" s="16"/>
      <c r="S872" s="16"/>
      <c r="T872" s="16"/>
      <c r="U872" s="16"/>
      <c r="V872" s="15"/>
      <c r="W872" s="15"/>
    </row>
    <row r="873" spans="1:23" ht="15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6"/>
      <c r="R873" s="16"/>
      <c r="S873" s="16"/>
      <c r="T873" s="16"/>
      <c r="U873" s="16"/>
      <c r="V873" s="15"/>
      <c r="W873" s="15"/>
    </row>
    <row r="874" spans="1:23" ht="15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6"/>
      <c r="R874" s="16"/>
      <c r="S874" s="16"/>
      <c r="T874" s="16"/>
      <c r="U874" s="16"/>
      <c r="V874" s="15"/>
      <c r="W874" s="15"/>
    </row>
    <row r="875" spans="1:23" ht="15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6"/>
      <c r="R875" s="16"/>
      <c r="S875" s="16"/>
      <c r="T875" s="16"/>
      <c r="U875" s="16"/>
      <c r="V875" s="15"/>
      <c r="W875" s="15"/>
    </row>
    <row r="876" spans="1:23" ht="15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6"/>
      <c r="R876" s="16"/>
      <c r="S876" s="16"/>
      <c r="T876" s="16"/>
      <c r="U876" s="16"/>
      <c r="V876" s="15"/>
      <c r="W876" s="15"/>
    </row>
    <row r="877" spans="1:23" ht="15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6"/>
      <c r="R877" s="16"/>
      <c r="S877" s="16"/>
      <c r="T877" s="16"/>
      <c r="U877" s="16"/>
      <c r="V877" s="15"/>
      <c r="W877" s="15"/>
    </row>
    <row r="878" spans="1:23" ht="15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6"/>
      <c r="R878" s="16"/>
      <c r="S878" s="16"/>
      <c r="T878" s="16"/>
      <c r="U878" s="16"/>
      <c r="V878" s="15"/>
      <c r="W878" s="15"/>
    </row>
    <row r="879" spans="1:23" ht="15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6"/>
      <c r="R879" s="16"/>
      <c r="S879" s="16"/>
      <c r="T879" s="16"/>
      <c r="U879" s="16"/>
      <c r="V879" s="15"/>
      <c r="W879" s="15"/>
    </row>
    <row r="880" spans="1:23" ht="15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6"/>
      <c r="R880" s="16"/>
      <c r="S880" s="16"/>
      <c r="T880" s="16"/>
      <c r="U880" s="16"/>
      <c r="V880" s="15"/>
      <c r="W880" s="15"/>
    </row>
    <row r="881" spans="1:23" ht="15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6"/>
      <c r="R881" s="16"/>
      <c r="S881" s="16"/>
      <c r="T881" s="16"/>
      <c r="U881" s="16"/>
      <c r="V881" s="15"/>
      <c r="W881" s="15"/>
    </row>
    <row r="882" spans="1:23" ht="15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6"/>
      <c r="R882" s="16"/>
      <c r="S882" s="16"/>
      <c r="T882" s="16"/>
      <c r="U882" s="16"/>
      <c r="V882" s="15"/>
      <c r="W882" s="15"/>
    </row>
    <row r="883" spans="1:23" ht="15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6"/>
      <c r="R883" s="16"/>
      <c r="S883" s="16"/>
      <c r="T883" s="16"/>
      <c r="U883" s="16"/>
      <c r="V883" s="15"/>
      <c r="W883" s="15"/>
    </row>
    <row r="884" spans="1:23" ht="15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6"/>
      <c r="R884" s="16"/>
      <c r="S884" s="16"/>
      <c r="T884" s="16"/>
      <c r="U884" s="16"/>
      <c r="V884" s="15"/>
      <c r="W884" s="15"/>
    </row>
    <row r="885" spans="1:23" ht="15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6"/>
      <c r="R885" s="16"/>
      <c r="S885" s="16"/>
      <c r="T885" s="16"/>
      <c r="U885" s="16"/>
      <c r="V885" s="15"/>
      <c r="W885" s="15"/>
    </row>
    <row r="886" spans="1:23" ht="15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6"/>
      <c r="R886" s="16"/>
      <c r="S886" s="16"/>
      <c r="T886" s="16"/>
      <c r="U886" s="16"/>
      <c r="V886" s="15"/>
      <c r="W886" s="15"/>
    </row>
    <row r="887" spans="1:23" ht="15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6"/>
      <c r="R887" s="16"/>
      <c r="S887" s="16"/>
      <c r="T887" s="16"/>
      <c r="U887" s="16"/>
      <c r="V887" s="15"/>
      <c r="W887" s="15"/>
    </row>
    <row r="888" spans="1:23" ht="15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6"/>
      <c r="R888" s="16"/>
      <c r="S888" s="16"/>
      <c r="T888" s="16"/>
      <c r="U888" s="16"/>
      <c r="V888" s="15"/>
      <c r="W888" s="15"/>
    </row>
    <row r="889" spans="1:23" ht="15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6"/>
      <c r="R889" s="16"/>
      <c r="S889" s="16"/>
      <c r="T889" s="16"/>
      <c r="U889" s="16"/>
      <c r="V889" s="15"/>
      <c r="W889" s="15"/>
    </row>
    <row r="890" spans="1:23" ht="15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6"/>
      <c r="R890" s="16"/>
      <c r="S890" s="16"/>
      <c r="T890" s="16"/>
      <c r="U890" s="16"/>
      <c r="V890" s="15"/>
      <c r="W890" s="15"/>
    </row>
    <row r="891" spans="1:23" ht="15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6"/>
      <c r="R891" s="16"/>
      <c r="S891" s="16"/>
      <c r="T891" s="16"/>
      <c r="U891" s="16"/>
      <c r="V891" s="15"/>
      <c r="W891" s="15"/>
    </row>
    <row r="892" spans="1:23" ht="15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6"/>
      <c r="R892" s="16"/>
      <c r="S892" s="16"/>
      <c r="T892" s="16"/>
      <c r="U892" s="16"/>
      <c r="V892" s="15"/>
      <c r="W892" s="15"/>
    </row>
    <row r="893" spans="1:23" ht="15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6"/>
      <c r="R893" s="16"/>
      <c r="S893" s="16"/>
      <c r="T893" s="16"/>
      <c r="U893" s="16"/>
      <c r="V893" s="15"/>
      <c r="W893" s="15"/>
    </row>
    <row r="894" spans="1:23" ht="15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6"/>
      <c r="R894" s="16"/>
      <c r="S894" s="16"/>
      <c r="T894" s="16"/>
      <c r="U894" s="16"/>
      <c r="V894" s="15"/>
      <c r="W894" s="15"/>
    </row>
    <row r="895" spans="1:23" ht="15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6"/>
      <c r="R895" s="16"/>
      <c r="S895" s="16"/>
      <c r="T895" s="16"/>
      <c r="U895" s="16"/>
      <c r="V895" s="15"/>
      <c r="W895" s="15"/>
    </row>
    <row r="896" spans="1:23" ht="15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6"/>
      <c r="R896" s="16"/>
      <c r="S896" s="16"/>
      <c r="T896" s="16"/>
      <c r="U896" s="16"/>
      <c r="V896" s="15"/>
      <c r="W896" s="15"/>
    </row>
    <row r="897" spans="1:23" ht="15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6"/>
      <c r="R897" s="16"/>
      <c r="S897" s="16"/>
      <c r="T897" s="16"/>
      <c r="U897" s="16"/>
      <c r="V897" s="15"/>
      <c r="W897" s="15"/>
    </row>
    <row r="898" spans="1:23" ht="15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6"/>
      <c r="R898" s="16"/>
      <c r="S898" s="16"/>
      <c r="T898" s="16"/>
      <c r="U898" s="16"/>
      <c r="V898" s="15"/>
      <c r="W898" s="15"/>
    </row>
    <row r="899" spans="1:23" ht="15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6"/>
      <c r="R899" s="16"/>
      <c r="S899" s="16"/>
      <c r="T899" s="16"/>
      <c r="U899" s="16"/>
      <c r="V899" s="15"/>
      <c r="W899" s="15"/>
    </row>
    <row r="900" spans="1:23" ht="15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6"/>
      <c r="R900" s="16"/>
      <c r="S900" s="16"/>
      <c r="T900" s="16"/>
      <c r="U900" s="16"/>
      <c r="V900" s="15"/>
      <c r="W900" s="15"/>
    </row>
    <row r="901" spans="1:23" ht="15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6"/>
      <c r="R901" s="16"/>
      <c r="S901" s="16"/>
      <c r="T901" s="16"/>
      <c r="U901" s="16"/>
      <c r="V901" s="15"/>
      <c r="W901" s="15"/>
    </row>
    <row r="902" spans="1:23" ht="15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6"/>
      <c r="R902" s="16"/>
      <c r="S902" s="16"/>
      <c r="T902" s="16"/>
      <c r="U902" s="16"/>
      <c r="V902" s="15"/>
      <c r="W902" s="15"/>
    </row>
    <row r="903" spans="1:23" ht="15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6"/>
      <c r="R903" s="16"/>
      <c r="S903" s="16"/>
      <c r="T903" s="16"/>
      <c r="U903" s="16"/>
      <c r="V903" s="15"/>
      <c r="W903" s="15"/>
    </row>
    <row r="904" spans="1:23" ht="15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6"/>
      <c r="R904" s="16"/>
      <c r="S904" s="16"/>
      <c r="T904" s="16"/>
      <c r="U904" s="16"/>
      <c r="V904" s="15"/>
      <c r="W904" s="15"/>
    </row>
    <row r="905" spans="1:23" ht="15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6"/>
      <c r="R905" s="16"/>
      <c r="S905" s="16"/>
      <c r="T905" s="16"/>
      <c r="U905" s="16"/>
      <c r="V905" s="15"/>
      <c r="W905" s="15"/>
    </row>
    <row r="906" spans="1:23" ht="15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6"/>
      <c r="R906" s="16"/>
      <c r="S906" s="16"/>
      <c r="T906" s="16"/>
      <c r="U906" s="16"/>
      <c r="V906" s="15"/>
      <c r="W906" s="15"/>
    </row>
    <row r="907" spans="1:23" ht="15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6"/>
      <c r="R907" s="16"/>
      <c r="S907" s="16"/>
      <c r="T907" s="16"/>
      <c r="U907" s="16"/>
      <c r="V907" s="15"/>
      <c r="W907" s="15"/>
    </row>
    <row r="908" spans="1:23" ht="15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6"/>
      <c r="R908" s="16"/>
      <c r="S908" s="16"/>
      <c r="T908" s="16"/>
      <c r="U908" s="16"/>
      <c r="V908" s="15"/>
      <c r="W908" s="15"/>
    </row>
    <row r="909" spans="1:23" ht="15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6"/>
      <c r="R909" s="16"/>
      <c r="S909" s="16"/>
      <c r="T909" s="16"/>
      <c r="U909" s="16"/>
      <c r="V909" s="15"/>
      <c r="W909" s="15"/>
    </row>
    <row r="910" spans="1:23" ht="15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6"/>
      <c r="R910" s="16"/>
      <c r="S910" s="16"/>
      <c r="T910" s="16"/>
      <c r="U910" s="16"/>
      <c r="V910" s="15"/>
      <c r="W910" s="15"/>
    </row>
    <row r="911" spans="1:23" ht="15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6"/>
      <c r="R911" s="16"/>
      <c r="S911" s="16"/>
      <c r="T911" s="16"/>
      <c r="U911" s="16"/>
      <c r="V911" s="15"/>
      <c r="W911" s="15"/>
    </row>
    <row r="912" spans="1:23" ht="15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6"/>
      <c r="R912" s="16"/>
      <c r="S912" s="16"/>
      <c r="T912" s="16"/>
      <c r="U912" s="16"/>
      <c r="V912" s="15"/>
      <c r="W912" s="15"/>
    </row>
    <row r="913" spans="1:23" ht="15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6"/>
      <c r="R913" s="16"/>
      <c r="S913" s="16"/>
      <c r="T913" s="16"/>
      <c r="U913" s="16"/>
      <c r="V913" s="15"/>
      <c r="W913" s="15"/>
    </row>
    <row r="914" spans="1:23" ht="15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6"/>
      <c r="R914" s="16"/>
      <c r="S914" s="16"/>
      <c r="T914" s="16"/>
      <c r="U914" s="16"/>
      <c r="V914" s="15"/>
      <c r="W914" s="15"/>
    </row>
    <row r="915" spans="1:23" ht="15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6"/>
      <c r="R915" s="16"/>
      <c r="S915" s="16"/>
      <c r="T915" s="16"/>
      <c r="U915" s="16"/>
      <c r="V915" s="15"/>
      <c r="W915" s="15"/>
    </row>
    <row r="916" spans="1:23" ht="15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6"/>
      <c r="R916" s="16"/>
      <c r="S916" s="16"/>
      <c r="T916" s="16"/>
      <c r="U916" s="16"/>
      <c r="V916" s="15"/>
      <c r="W916" s="15"/>
    </row>
    <row r="917" spans="1:23" ht="15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6"/>
      <c r="R917" s="16"/>
      <c r="S917" s="16"/>
      <c r="T917" s="16"/>
      <c r="U917" s="16"/>
      <c r="V917" s="15"/>
      <c r="W917" s="15"/>
    </row>
    <row r="918" spans="1:23" ht="15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6"/>
      <c r="R918" s="16"/>
      <c r="S918" s="16"/>
      <c r="T918" s="16"/>
      <c r="U918" s="16"/>
      <c r="V918" s="15"/>
      <c r="W918" s="15"/>
    </row>
    <row r="919" spans="1:23" ht="15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6"/>
      <c r="R919" s="16"/>
      <c r="S919" s="16"/>
      <c r="T919" s="16"/>
      <c r="U919" s="16"/>
      <c r="V919" s="15"/>
      <c r="W919" s="15"/>
    </row>
    <row r="920" spans="1:23" ht="15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6"/>
      <c r="R920" s="16"/>
      <c r="S920" s="16"/>
      <c r="T920" s="16"/>
      <c r="U920" s="16"/>
      <c r="V920" s="15"/>
      <c r="W920" s="15"/>
    </row>
    <row r="921" spans="1:23" ht="15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6"/>
      <c r="R921" s="16"/>
      <c r="S921" s="16"/>
      <c r="T921" s="16"/>
      <c r="U921" s="16"/>
      <c r="V921" s="15"/>
      <c r="W921" s="15"/>
    </row>
    <row r="922" spans="1:23" ht="15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6"/>
      <c r="R922" s="16"/>
      <c r="S922" s="16"/>
      <c r="T922" s="16"/>
      <c r="U922" s="16"/>
      <c r="V922" s="15"/>
      <c r="W922" s="15"/>
    </row>
    <row r="923" spans="1:23" ht="15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6"/>
      <c r="R923" s="16"/>
      <c r="S923" s="16"/>
      <c r="T923" s="16"/>
      <c r="U923" s="16"/>
      <c r="V923" s="15"/>
      <c r="W923" s="15"/>
    </row>
    <row r="924" spans="1:23" ht="15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6"/>
      <c r="R924" s="16"/>
      <c r="S924" s="16"/>
      <c r="T924" s="16"/>
      <c r="U924" s="16"/>
      <c r="V924" s="15"/>
      <c r="W924" s="15"/>
    </row>
    <row r="925" spans="1:23" ht="15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6"/>
      <c r="R925" s="16"/>
      <c r="S925" s="16"/>
      <c r="T925" s="16"/>
      <c r="U925" s="16"/>
      <c r="V925" s="15"/>
      <c r="W925" s="15"/>
    </row>
    <row r="926" spans="1:23" ht="15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6"/>
      <c r="R926" s="16"/>
      <c r="S926" s="16"/>
      <c r="T926" s="16"/>
      <c r="U926" s="16"/>
      <c r="V926" s="15"/>
      <c r="W926" s="15"/>
    </row>
    <row r="927" spans="1:23" ht="15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6"/>
      <c r="R927" s="16"/>
      <c r="S927" s="16"/>
      <c r="T927" s="16"/>
      <c r="U927" s="16"/>
      <c r="V927" s="15"/>
      <c r="W927" s="15"/>
    </row>
    <row r="928" spans="1:23" ht="15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6"/>
      <c r="R928" s="16"/>
      <c r="S928" s="16"/>
      <c r="T928" s="16"/>
      <c r="U928" s="16"/>
      <c r="V928" s="15"/>
      <c r="W928" s="15"/>
    </row>
    <row r="929" spans="1:23" ht="15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6"/>
      <c r="R929" s="16"/>
      <c r="S929" s="16"/>
      <c r="T929" s="16"/>
      <c r="U929" s="16"/>
      <c r="V929" s="15"/>
      <c r="W929" s="15"/>
    </row>
    <row r="930" spans="1:23" ht="15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6"/>
      <c r="R930" s="16"/>
      <c r="S930" s="16"/>
      <c r="T930" s="16"/>
      <c r="U930" s="16"/>
      <c r="V930" s="15"/>
      <c r="W930" s="15"/>
    </row>
    <row r="931" spans="1:23" ht="15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6"/>
      <c r="R931" s="16"/>
      <c r="S931" s="16"/>
      <c r="T931" s="16"/>
      <c r="U931" s="16"/>
      <c r="V931" s="15"/>
      <c r="W931" s="15"/>
    </row>
    <row r="932" spans="1:23" ht="15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6"/>
      <c r="R932" s="16"/>
      <c r="S932" s="16"/>
      <c r="T932" s="16"/>
      <c r="U932" s="16"/>
      <c r="V932" s="15"/>
      <c r="W932" s="15"/>
    </row>
    <row r="933" spans="1:23" ht="15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6"/>
      <c r="R933" s="16"/>
      <c r="S933" s="16"/>
      <c r="T933" s="16"/>
      <c r="U933" s="16"/>
      <c r="V933" s="15"/>
      <c r="W933" s="15"/>
    </row>
    <row r="934" spans="1:23" ht="15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6"/>
      <c r="R934" s="16"/>
      <c r="S934" s="16"/>
      <c r="T934" s="16"/>
      <c r="U934" s="16"/>
      <c r="V934" s="15"/>
      <c r="W934" s="15"/>
    </row>
    <row r="935" spans="1:23" ht="15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6"/>
      <c r="R935" s="16"/>
      <c r="S935" s="16"/>
      <c r="T935" s="16"/>
      <c r="U935" s="16"/>
      <c r="V935" s="15"/>
      <c r="W935" s="15"/>
    </row>
    <row r="936" spans="1:23" ht="15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6"/>
      <c r="R936" s="16"/>
      <c r="S936" s="16"/>
      <c r="T936" s="16"/>
      <c r="U936" s="16"/>
      <c r="V936" s="15"/>
      <c r="W936" s="15"/>
    </row>
    <row r="937" spans="1:23" ht="15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6"/>
      <c r="R937" s="16"/>
      <c r="S937" s="16"/>
      <c r="T937" s="16"/>
      <c r="U937" s="16"/>
      <c r="V937" s="15"/>
      <c r="W937" s="15"/>
    </row>
    <row r="938" spans="1:23" ht="15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6"/>
      <c r="R938" s="16"/>
      <c r="S938" s="16"/>
      <c r="T938" s="16"/>
      <c r="U938" s="16"/>
      <c r="V938" s="15"/>
      <c r="W938" s="15"/>
    </row>
    <row r="939" spans="1:23" ht="15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6"/>
      <c r="R939" s="16"/>
      <c r="S939" s="16"/>
      <c r="T939" s="16"/>
      <c r="U939" s="16"/>
      <c r="V939" s="15"/>
      <c r="W939" s="15"/>
    </row>
    <row r="940" spans="1:23" ht="15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6"/>
      <c r="R940" s="16"/>
      <c r="S940" s="16"/>
      <c r="T940" s="16"/>
      <c r="U940" s="16"/>
      <c r="V940" s="15"/>
      <c r="W940" s="15"/>
    </row>
    <row r="941" spans="1:23" ht="15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6"/>
      <c r="R941" s="16"/>
      <c r="S941" s="16"/>
      <c r="T941" s="16"/>
      <c r="U941" s="16"/>
      <c r="V941" s="15"/>
      <c r="W941" s="15"/>
    </row>
    <row r="942" spans="1:23" ht="15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6"/>
      <c r="R942" s="16"/>
      <c r="S942" s="16"/>
      <c r="T942" s="16"/>
      <c r="U942" s="16"/>
      <c r="V942" s="15"/>
      <c r="W942" s="15"/>
    </row>
    <row r="943" spans="1:23" ht="15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6"/>
      <c r="R943" s="16"/>
      <c r="S943" s="16"/>
      <c r="T943" s="16"/>
      <c r="U943" s="16"/>
      <c r="V943" s="15"/>
      <c r="W943" s="15"/>
    </row>
    <row r="944" spans="1:23" ht="15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6"/>
      <c r="R944" s="16"/>
      <c r="S944" s="16"/>
      <c r="T944" s="16"/>
      <c r="U944" s="16"/>
      <c r="V944" s="15"/>
      <c r="W944" s="15"/>
    </row>
    <row r="945" spans="1:23" ht="15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6"/>
      <c r="R945" s="16"/>
      <c r="S945" s="16"/>
      <c r="T945" s="16"/>
      <c r="U945" s="16"/>
      <c r="V945" s="15"/>
      <c r="W945" s="15"/>
    </row>
    <row r="946" spans="1:23" ht="15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6"/>
      <c r="R946" s="16"/>
      <c r="S946" s="16"/>
      <c r="T946" s="16"/>
      <c r="U946" s="16"/>
      <c r="V946" s="15"/>
      <c r="W946" s="15"/>
    </row>
    <row r="947" spans="1:23" ht="15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6"/>
      <c r="R947" s="16"/>
      <c r="S947" s="16"/>
      <c r="T947" s="16"/>
      <c r="U947" s="16"/>
      <c r="V947" s="15"/>
      <c r="W947" s="15"/>
    </row>
    <row r="948" spans="1:23" ht="15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6"/>
      <c r="R948" s="16"/>
      <c r="S948" s="16"/>
      <c r="T948" s="16"/>
      <c r="U948" s="16"/>
      <c r="V948" s="15"/>
      <c r="W948" s="15"/>
    </row>
    <row r="949" spans="1:23" ht="15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6"/>
      <c r="R949" s="16"/>
      <c r="S949" s="16"/>
      <c r="T949" s="16"/>
      <c r="U949" s="16"/>
      <c r="V949" s="15"/>
      <c r="W949" s="15"/>
    </row>
    <row r="950" spans="1:23" ht="15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6"/>
      <c r="R950" s="16"/>
      <c r="S950" s="16"/>
      <c r="T950" s="16"/>
      <c r="U950" s="16"/>
      <c r="V950" s="15"/>
      <c r="W950" s="15"/>
    </row>
    <row r="951" spans="1:23" ht="15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6"/>
      <c r="R951" s="16"/>
      <c r="S951" s="16"/>
      <c r="T951" s="16"/>
      <c r="U951" s="16"/>
      <c r="V951" s="15"/>
      <c r="W951" s="15"/>
    </row>
    <row r="952" spans="1:23" ht="15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6"/>
      <c r="R952" s="16"/>
      <c r="S952" s="16"/>
      <c r="T952" s="16"/>
      <c r="U952" s="16"/>
      <c r="V952" s="15"/>
      <c r="W952" s="15"/>
    </row>
    <row r="953" spans="1:23" ht="15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6"/>
      <c r="R953" s="16"/>
      <c r="S953" s="16"/>
      <c r="T953" s="16"/>
      <c r="U953" s="16"/>
      <c r="V953" s="15"/>
      <c r="W953" s="15"/>
    </row>
    <row r="954" spans="1:23" ht="15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6"/>
      <c r="R954" s="16"/>
      <c r="S954" s="16"/>
      <c r="T954" s="16"/>
      <c r="U954" s="16"/>
      <c r="V954" s="15"/>
      <c r="W954" s="15"/>
    </row>
    <row r="955" spans="1:23" ht="15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6"/>
      <c r="R955" s="16"/>
      <c r="S955" s="16"/>
      <c r="T955" s="16"/>
      <c r="U955" s="16"/>
      <c r="V955" s="15"/>
      <c r="W955" s="15"/>
    </row>
    <row r="956" spans="1:23" ht="15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6"/>
      <c r="R956" s="16"/>
      <c r="S956" s="16"/>
      <c r="T956" s="16"/>
      <c r="U956" s="16"/>
      <c r="V956" s="15"/>
      <c r="W956" s="15"/>
    </row>
    <row r="957" spans="1:23" ht="15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6"/>
      <c r="R957" s="16"/>
      <c r="S957" s="16"/>
      <c r="T957" s="16"/>
      <c r="U957" s="16"/>
      <c r="V957" s="15"/>
      <c r="W957" s="15"/>
    </row>
    <row r="958" spans="1:23" ht="15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6"/>
      <c r="R958" s="16"/>
      <c r="S958" s="16"/>
      <c r="T958" s="16"/>
      <c r="U958" s="16"/>
      <c r="V958" s="15"/>
      <c r="W958" s="15"/>
    </row>
    <row r="959" spans="1:23" ht="15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6"/>
      <c r="R959" s="16"/>
      <c r="S959" s="16"/>
      <c r="T959" s="16"/>
      <c r="U959" s="16"/>
      <c r="V959" s="15"/>
      <c r="W959" s="15"/>
    </row>
    <row r="960" spans="1:23" ht="15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6"/>
      <c r="R960" s="16"/>
      <c r="S960" s="16"/>
      <c r="T960" s="16"/>
      <c r="U960" s="16"/>
      <c r="V960" s="15"/>
      <c r="W960" s="15"/>
    </row>
    <row r="961" spans="1:23" ht="15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6"/>
      <c r="R961" s="16"/>
      <c r="S961" s="16"/>
      <c r="T961" s="16"/>
      <c r="U961" s="16"/>
      <c r="V961" s="15"/>
      <c r="W961" s="15"/>
    </row>
    <row r="962" spans="1:23" ht="15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6"/>
      <c r="R962" s="16"/>
      <c r="S962" s="16"/>
      <c r="T962" s="16"/>
      <c r="U962" s="16"/>
      <c r="V962" s="15"/>
      <c r="W962" s="15"/>
    </row>
    <row r="963" spans="1:23" ht="15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6"/>
      <c r="R963" s="16"/>
      <c r="S963" s="16"/>
      <c r="T963" s="16"/>
      <c r="U963" s="16"/>
      <c r="V963" s="15"/>
      <c r="W963" s="15"/>
    </row>
    <row r="964" spans="1:23" ht="15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6"/>
      <c r="R964" s="16"/>
      <c r="S964" s="16"/>
      <c r="T964" s="16"/>
      <c r="U964" s="16"/>
      <c r="V964" s="15"/>
      <c r="W964" s="15"/>
    </row>
    <row r="965" spans="1:23" ht="15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6"/>
      <c r="R965" s="16"/>
      <c r="S965" s="16"/>
      <c r="T965" s="16"/>
      <c r="U965" s="16"/>
      <c r="V965" s="15"/>
      <c r="W965" s="15"/>
    </row>
    <row r="966" spans="1:23" ht="15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6"/>
      <c r="R966" s="16"/>
      <c r="S966" s="16"/>
      <c r="T966" s="16"/>
      <c r="U966" s="16"/>
      <c r="V966" s="15"/>
      <c r="W966" s="15"/>
    </row>
    <row r="967" spans="1:23" ht="15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6"/>
      <c r="R967" s="16"/>
      <c r="S967" s="16"/>
      <c r="T967" s="16"/>
      <c r="U967" s="16"/>
      <c r="V967" s="15"/>
      <c r="W967" s="15"/>
    </row>
    <row r="968" spans="1:23" ht="15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6"/>
      <c r="R968" s="16"/>
      <c r="S968" s="16"/>
      <c r="T968" s="16"/>
      <c r="U968" s="16"/>
      <c r="V968" s="15"/>
      <c r="W968" s="15"/>
    </row>
    <row r="969" spans="1:23" ht="15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6"/>
      <c r="R969" s="16"/>
      <c r="S969" s="16"/>
      <c r="T969" s="16"/>
      <c r="U969" s="16"/>
      <c r="V969" s="15"/>
      <c r="W969" s="15"/>
    </row>
    <row r="970" spans="1:23" ht="15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6"/>
      <c r="R970" s="16"/>
      <c r="S970" s="16"/>
      <c r="T970" s="16"/>
      <c r="U970" s="16"/>
      <c r="V970" s="15"/>
      <c r="W970" s="15"/>
    </row>
    <row r="971" spans="1:23" ht="15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6"/>
      <c r="R971" s="16"/>
      <c r="S971" s="16"/>
      <c r="T971" s="16"/>
      <c r="U971" s="16"/>
      <c r="V971" s="15"/>
      <c r="W971" s="15"/>
    </row>
    <row r="972" spans="1:23" ht="15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6"/>
      <c r="R972" s="16"/>
      <c r="S972" s="16"/>
      <c r="T972" s="16"/>
      <c r="U972" s="16"/>
      <c r="V972" s="15"/>
      <c r="W972" s="15"/>
    </row>
    <row r="973" spans="1:23" ht="15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6"/>
      <c r="R973" s="16"/>
      <c r="S973" s="16"/>
      <c r="T973" s="16"/>
      <c r="U973" s="16"/>
      <c r="V973" s="15"/>
      <c r="W973" s="15"/>
    </row>
    <row r="974" spans="1:23" ht="15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6"/>
      <c r="R974" s="16"/>
      <c r="S974" s="16"/>
      <c r="T974" s="16"/>
      <c r="U974" s="16"/>
      <c r="V974" s="15"/>
      <c r="W974" s="15"/>
    </row>
    <row r="975" spans="1:23" ht="15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6"/>
      <c r="R975" s="16"/>
      <c r="S975" s="16"/>
      <c r="T975" s="16"/>
      <c r="U975" s="16"/>
      <c r="V975" s="15"/>
      <c r="W975" s="15"/>
    </row>
    <row r="976" spans="1:23" ht="15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6"/>
      <c r="R976" s="16"/>
      <c r="S976" s="16"/>
      <c r="T976" s="16"/>
      <c r="U976" s="16"/>
      <c r="V976" s="15"/>
      <c r="W976" s="15"/>
    </row>
    <row r="977" spans="1:23" ht="15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6"/>
      <c r="R977" s="16"/>
      <c r="S977" s="16"/>
      <c r="T977" s="16"/>
      <c r="U977" s="16"/>
      <c r="V977" s="15"/>
      <c r="W977" s="15"/>
    </row>
    <row r="978" spans="1:23" ht="15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6"/>
      <c r="R978" s="16"/>
      <c r="S978" s="16"/>
      <c r="T978" s="16"/>
      <c r="U978" s="16"/>
      <c r="V978" s="15"/>
      <c r="W978" s="15"/>
    </row>
    <row r="979" spans="1:23" ht="15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6"/>
      <c r="R979" s="16"/>
      <c r="S979" s="16"/>
      <c r="T979" s="16"/>
      <c r="U979" s="16"/>
      <c r="V979" s="15"/>
      <c r="W979" s="15"/>
    </row>
    <row r="980" spans="1:23" ht="15.7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6"/>
      <c r="R980" s="16"/>
      <c r="S980" s="16"/>
      <c r="T980" s="16"/>
      <c r="U980" s="16"/>
      <c r="V980" s="15"/>
      <c r="W980" s="15"/>
    </row>
    <row r="981" spans="1:23" ht="15.7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6"/>
      <c r="R981" s="16"/>
      <c r="S981" s="16"/>
      <c r="T981" s="16"/>
      <c r="U981" s="16"/>
      <c r="V981" s="15"/>
      <c r="W981" s="15"/>
    </row>
    <row r="982" spans="1:23" ht="15.7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6"/>
      <c r="R982" s="16"/>
      <c r="S982" s="16"/>
      <c r="T982" s="16"/>
      <c r="U982" s="16"/>
      <c r="V982" s="15"/>
      <c r="W982" s="15"/>
    </row>
    <row r="983" spans="1:23" ht="15.7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6"/>
      <c r="R983" s="16"/>
      <c r="S983" s="16"/>
      <c r="T983" s="16"/>
      <c r="U983" s="16"/>
      <c r="V983" s="15"/>
      <c r="W983" s="15"/>
    </row>
    <row r="984" spans="1:23" ht="15.7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6"/>
      <c r="R984" s="16"/>
      <c r="S984" s="16"/>
      <c r="T984" s="16"/>
      <c r="U984" s="16"/>
      <c r="V984" s="15"/>
      <c r="W984" s="15"/>
    </row>
    <row r="985" spans="1:23" ht="15.7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6"/>
      <c r="R985" s="16"/>
      <c r="S985" s="16"/>
      <c r="T985" s="16"/>
      <c r="U985" s="16"/>
      <c r="V985" s="15"/>
      <c r="W985" s="15"/>
    </row>
    <row r="986" spans="1:23" ht="15.7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6"/>
      <c r="R986" s="16"/>
      <c r="S986" s="16"/>
      <c r="T986" s="16"/>
      <c r="U986" s="16"/>
      <c r="V986" s="15"/>
      <c r="W986" s="15"/>
    </row>
    <row r="987" spans="1:23" ht="15.7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6"/>
      <c r="R987" s="16"/>
      <c r="S987" s="16"/>
      <c r="T987" s="16"/>
      <c r="U987" s="16"/>
      <c r="V987" s="15"/>
      <c r="W987" s="15"/>
    </row>
    <row r="988" spans="1:23" ht="15.7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6"/>
      <c r="R988" s="16"/>
      <c r="S988" s="16"/>
      <c r="T988" s="16"/>
      <c r="U988" s="16"/>
      <c r="V988" s="15"/>
      <c r="W988" s="15"/>
    </row>
    <row r="989" spans="1:23" ht="15.7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6"/>
      <c r="R989" s="16"/>
      <c r="S989" s="16"/>
      <c r="T989" s="16"/>
      <c r="U989" s="16"/>
      <c r="V989" s="15"/>
      <c r="W989" s="15"/>
    </row>
    <row r="990" spans="1:23" ht="15.7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6"/>
      <c r="R990" s="16"/>
      <c r="S990" s="16"/>
      <c r="T990" s="16"/>
      <c r="U990" s="16"/>
      <c r="V990" s="15"/>
      <c r="W990" s="15"/>
    </row>
    <row r="991" spans="1:23" ht="15.7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6"/>
      <c r="R991" s="16"/>
      <c r="S991" s="16"/>
      <c r="T991" s="16"/>
      <c r="U991" s="16"/>
      <c r="V991" s="15"/>
      <c r="W991" s="15"/>
    </row>
    <row r="992" spans="1:23" ht="15.7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6"/>
      <c r="R992" s="16"/>
      <c r="S992" s="16"/>
      <c r="T992" s="16"/>
      <c r="U992" s="16"/>
      <c r="V992" s="15"/>
      <c r="W992" s="15"/>
    </row>
    <row r="993" spans="1:23" ht="15.7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6"/>
      <c r="R993" s="16"/>
      <c r="S993" s="16"/>
      <c r="T993" s="16"/>
      <c r="U993" s="16"/>
      <c r="V993" s="15"/>
      <c r="W993" s="15"/>
    </row>
    <row r="994" spans="1:23" ht="15.7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6"/>
      <c r="R994" s="16"/>
      <c r="S994" s="16"/>
      <c r="T994" s="16"/>
      <c r="U994" s="16"/>
      <c r="V994" s="15"/>
      <c r="W994" s="15"/>
    </row>
    <row r="995" spans="1:23" ht="15.7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6"/>
      <c r="R995" s="16"/>
      <c r="S995" s="16"/>
      <c r="T995" s="16"/>
      <c r="U995" s="16"/>
      <c r="V995" s="15"/>
      <c r="W995" s="15"/>
    </row>
    <row r="996" spans="1:23" ht="15.7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6"/>
      <c r="R996" s="16"/>
      <c r="S996" s="16"/>
      <c r="T996" s="16"/>
      <c r="U996" s="16"/>
      <c r="V996" s="15"/>
      <c r="W996" s="15"/>
    </row>
    <row r="997" spans="1:23" ht="15.7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6"/>
      <c r="R997" s="16"/>
      <c r="S997" s="16"/>
      <c r="T997" s="16"/>
      <c r="U997" s="16"/>
      <c r="V997" s="15"/>
      <c r="W997" s="15"/>
    </row>
    <row r="998" spans="1:23" ht="15.7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6"/>
      <c r="R998" s="16"/>
      <c r="S998" s="16"/>
      <c r="T998" s="16"/>
      <c r="U998" s="16"/>
      <c r="V998" s="15"/>
      <c r="W998" s="15"/>
    </row>
    <row r="999" spans="1:23" ht="15.7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6"/>
      <c r="R999" s="16"/>
      <c r="S999" s="16"/>
      <c r="T999" s="16"/>
      <c r="U999" s="16"/>
      <c r="V999" s="15"/>
      <c r="W999" s="15"/>
    </row>
    <row r="1000" spans="1:23" ht="15.75" customHeight="1" x14ac:dyDescent="0.2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6"/>
      <c r="R1000" s="16"/>
      <c r="S1000" s="16"/>
      <c r="T1000" s="16"/>
      <c r="U1000" s="16"/>
      <c r="V1000" s="15"/>
      <c r="W1000" s="15"/>
    </row>
    <row r="1001" spans="1:23" ht="15.75" customHeight="1" x14ac:dyDescent="0.2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6"/>
      <c r="R1001" s="16"/>
      <c r="S1001" s="16"/>
      <c r="T1001" s="16"/>
      <c r="U1001" s="16"/>
      <c r="V1001" s="15"/>
      <c r="W1001" s="15"/>
    </row>
    <row r="1002" spans="1:23" ht="15" customHeight="1" x14ac:dyDescent="0.2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6"/>
      <c r="R1002" s="16"/>
      <c r="S1002" s="16"/>
      <c r="T1002" s="16"/>
      <c r="U1002" s="16"/>
      <c r="V1002" s="15"/>
      <c r="W1002" s="15"/>
    </row>
    <row r="1003" spans="1:23" ht="15" customHeight="1" x14ac:dyDescent="0.25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6"/>
      <c r="R1003" s="16"/>
      <c r="S1003" s="16"/>
      <c r="T1003" s="16"/>
      <c r="U1003" s="16"/>
      <c r="V1003" s="15"/>
      <c r="W1003" s="15"/>
    </row>
    <row r="1004" spans="1:23" ht="15" customHeight="1" x14ac:dyDescent="0.25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6"/>
      <c r="R1004" s="16"/>
      <c r="S1004" s="16"/>
      <c r="T1004" s="16"/>
      <c r="U1004" s="16"/>
      <c r="V1004" s="15"/>
      <c r="W1004" s="15"/>
    </row>
  </sheetData>
  <sheetProtection selectLockedCells="1"/>
  <mergeCells count="5">
    <mergeCell ref="A4:H4"/>
    <mergeCell ref="O6:P6"/>
    <mergeCell ref="K6:N6"/>
    <mergeCell ref="A1:P1"/>
    <mergeCell ref="A2:J2"/>
  </mergeCells>
  <phoneticPr fontId="40" type="noConversion"/>
  <conditionalFormatting sqref="A6:A1048576 A1:A4">
    <cfRule type="duplicateValues" dxfId="148" priority="48"/>
  </conditionalFormatting>
  <conditionalFormatting sqref="B8:C208">
    <cfRule type="expression" dxfId="147" priority="101">
      <formula>AA8=1</formula>
    </cfRule>
  </conditionalFormatting>
  <conditionalFormatting sqref="C8:C1004">
    <cfRule type="expression" dxfId="146" priority="5">
      <formula>IF(AND(D8&lt;18, C8="Adults Only"),"True",IF(AND(D8&gt;17,C8="Children Only"),"True", IF(AND(C8="Adults &amp; Children", AI8="False"), "True")))</formula>
    </cfRule>
  </conditionalFormatting>
  <conditionalFormatting sqref="D8:D1004">
    <cfRule type="expression" dxfId="145" priority="100">
      <formula>IF(AND(D8&lt;18, C8="Adults Only"),"True",IF(AND(D8&gt;17,C8="Children Only"),"True", IF(AND(C8="Adults &amp; Children", AI8="False"), "True")))</formula>
    </cfRule>
  </conditionalFormatting>
  <conditionalFormatting sqref="F8:F207">
    <cfRule type="expression" dxfId="144" priority="263">
      <formula>IF(AND(F8="Yes",D8&lt;18),"True")</formula>
    </cfRule>
  </conditionalFormatting>
  <conditionalFormatting sqref="F114:F1004">
    <cfRule type="expression" dxfId="143" priority="736">
      <formula>IF(AND(F114="Yes",G114="Yes"),"True")</formula>
    </cfRule>
    <cfRule type="expression" dxfId="142" priority="737">
      <formula>IF(AND(F114="Yes",C114="Adults Only"),"True")</formula>
    </cfRule>
    <cfRule type="expression" dxfId="141" priority="738">
      <formula>IF(AND(F114="Yes",D114&gt;24),"True")</formula>
    </cfRule>
    <cfRule type="expression" dxfId="140" priority="739">
      <formula>IF(AND(F114="Yes",G114="Yes"),"True")</formula>
    </cfRule>
    <cfRule type="expression" dxfId="139" priority="740">
      <formula>IF(AND(F114="Yes",C114="Adults Only"),"True")</formula>
    </cfRule>
    <cfRule type="expression" dxfId="138" priority="741">
      <formula>IF(AND(F114="Yes",D114&gt;24),"True")</formula>
    </cfRule>
  </conditionalFormatting>
  <conditionalFormatting sqref="G8:G207">
    <cfRule type="expression" dxfId="137" priority="1">
      <formula>OR(AND(I8="Yes",D8&gt;24),AC8="No")</formula>
    </cfRule>
    <cfRule type="expression" dxfId="136" priority="9">
      <formula>AND(OR(I8="Yes",H8="Yes"),G8="Yes")</formula>
    </cfRule>
    <cfRule type="expression" dxfId="135" priority="743">
      <formula>IF(AND(G8="Yes",C8="Adults Only"),"True")</formula>
    </cfRule>
    <cfRule type="expression" dxfId="134" priority="760">
      <formula>AND(AND(NOT(ISBLANK(D8)), AG8="True"), ISBLANK(G8))</formula>
    </cfRule>
  </conditionalFormatting>
  <conditionalFormatting sqref="H8:H207">
    <cfRule type="expression" dxfId="133" priority="695">
      <formula>OR(AND(I8="Yes",D8&gt;24),AC8="No")</formula>
    </cfRule>
    <cfRule type="expression" dxfId="132" priority="749">
      <formula>AND(OR(G8="Yes",I8="Yes"),H8="Yes")</formula>
    </cfRule>
    <cfRule type="expression" dxfId="131" priority="750">
      <formula>IF(AND(H8="Yes",D8&gt;17),"True")</formula>
    </cfRule>
    <cfRule type="expression" dxfId="130" priority="759">
      <formula>AND(AND(NOT(ISBLANK(D8)), AG8="True", D8&lt;18), ISBLANK(H8))</formula>
    </cfRule>
  </conditionalFormatting>
  <conditionalFormatting sqref="H114:H1004">
    <cfRule type="expression" dxfId="129" priority="753">
      <formula>IF(AND(H114="Yes",D114&gt;24),"True")</formula>
    </cfRule>
    <cfRule type="expression" dxfId="128" priority="754">
      <formula>IF(AND(H114="No",F114="No",G114="No",C114="Children Only"),"True")</formula>
    </cfRule>
  </conditionalFormatting>
  <conditionalFormatting sqref="I8:I207">
    <cfRule type="expression" dxfId="127" priority="3">
      <formula>AND(AND(NOT(ISBLANK(D8)), AG8="True"), ISBLANK(I8))</formula>
    </cfRule>
    <cfRule type="expression" dxfId="126" priority="758">
      <formula>AND(OR(G8="Yes", H8="Yes"), I8="Yes")</formula>
    </cfRule>
  </conditionalFormatting>
  <conditionalFormatting sqref="I114:J1004">
    <cfRule type="expression" dxfId="125" priority="757">
      <formula>IF(AND(ISBLANK($I114),$D114&gt;17),"True")</formula>
    </cfRule>
  </conditionalFormatting>
  <conditionalFormatting sqref="J8:J207">
    <cfRule type="expression" dxfId="124" priority="761">
      <formula>IF(AND($J8="Yes", $V8=0, $D8&gt;17), "True")</formula>
    </cfRule>
    <cfRule type="expression" dxfId="123" priority="762">
      <formula>IF(AND(J8="No",H8="No",I8="No",D8="Children Only"),"True")</formula>
    </cfRule>
  </conditionalFormatting>
  <conditionalFormatting sqref="K8:K207">
    <cfRule type="expression" dxfId="122" priority="733">
      <formula>IF(AND(ISBLANK($K8),$D8&gt;17),"True")</formula>
    </cfRule>
  </conditionalFormatting>
  <conditionalFormatting sqref="L8:L207">
    <cfRule type="expression" dxfId="121" priority="764">
      <formula>IF(AND(ISBLANK($L8),$D8&gt;17),"True")</formula>
    </cfRule>
  </conditionalFormatting>
  <conditionalFormatting sqref="M8:M207">
    <cfRule type="expression" dxfId="120" priority="735">
      <formula>IF(AND(ISBLANK($M8),$D8&gt;17),"True")</formula>
    </cfRule>
  </conditionalFormatting>
  <conditionalFormatting sqref="N8:N207">
    <cfRule type="expression" dxfId="119" priority="807">
      <formula>AND(I4="OK", D8&gt;17, N8="No")</formula>
    </cfRule>
    <cfRule type="expression" dxfId="118" priority="808">
      <formula>OR(AND(ISBLANK($N8),$D8&gt;17),AND(I4="OK", D8&gt;17, N8="No"))</formula>
    </cfRule>
  </conditionalFormatting>
  <dataValidations count="7">
    <dataValidation type="list" allowBlank="1" showErrorMessage="1" sqref="J8:J207" xr:uid="{00000000-0002-0000-0000-000001000000}">
      <formula1>"Yes,No"</formula1>
    </dataValidation>
    <dataValidation operator="greaterThan" allowBlank="1" showInputMessage="1" showErrorMessage="1" error="The field must be a number" sqref="B8:B207" xr:uid="{5E602964-0989-4B06-9330-E87CE6553CA8}"/>
    <dataValidation type="list" allowBlank="1" showErrorMessage="1" sqref="C8:C207" xr:uid="{00000000-0002-0000-0000-000004000000}">
      <formula1>"Adults &amp; Children,Adults Only,Children Only"</formula1>
    </dataValidation>
    <dataValidation type="custom" allowBlank="1" showInputMessage="1" showErrorMessage="1" errorTitle="Duplicate" error="This field requires a unique ID" sqref="A2:A3 A6:A113 A208:A1048576" xr:uid="{4E1FC2A2-FFF7-4EFC-A810-2E86774642DB}">
      <formula1>COUNTIF($A$8:$A$113,A2)=1</formula1>
    </dataValidation>
    <dataValidation type="whole" allowBlank="1" showInputMessage="1" showErrorMessage="1" sqref="D7 D208:D1048576" xr:uid="{2B2EAE5F-81F3-4CFF-A1E9-9036D873A2E9}">
      <formula1>1</formula1>
      <formula2>105</formula2>
    </dataValidation>
    <dataValidation type="list" allowBlank="1" showInputMessage="1" showErrorMessage="1" sqref="K8:N207" xr:uid="{9A890B44-BB60-4A24-9D33-4C224585563B}">
      <formula1>"Yes,No,Not Answered"</formula1>
    </dataValidation>
    <dataValidation type="whole" allowBlank="1" showInputMessage="1" showErrorMessage="1" sqref="D8:D207" xr:uid="{578C86D3-57BB-4493-B836-BBE06E194CCA}">
      <formula1>0</formula1>
      <formula2>105</formula2>
    </dataValidation>
  </dataValidations>
  <hyperlinks>
    <hyperlink ref="A2:E2" r:id="rId1" display="A guide on using this workbook is available from the ICA Missouri Knowledge Base. " xr:uid="{F1457A38-2A3D-4AB0-B2C4-EB04A2E6C4C4}"/>
  </hyperlinks>
  <pageMargins left="0.25" right="0.25" top="0.75" bottom="0.75" header="0" footer="0"/>
  <pageSetup scale="80" orientation="landscape" r:id="rId2"/>
  <ignoredErrors>
    <ignoredError sqref="A7" listDataValidation="1"/>
    <ignoredError sqref="A45:A46" calculatedColumn="1"/>
  </ignoredError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2000000}">
          <x14:formula1>
            <xm:f>Lookup!$A$3:$A$104</xm:f>
          </x14:formula1>
          <xm:sqref>O8:O207</xm:sqref>
        </x14:dataValidation>
        <x14:dataValidation type="list" allowBlank="1" showErrorMessage="1" xr:uid="{00000000-0002-0000-0000-000005000000}">
          <x14:formula1>
            <xm:f>'PIT Count'!$C$27:$C$42</xm:f>
          </x14:formula1>
          <xm:sqref>E8:E207</xm:sqref>
        </x14:dataValidation>
        <x14:dataValidation type="list" allowBlank="1" showInputMessage="1" showErrorMessage="1" xr:uid="{739F45A7-09B1-4D3F-8127-C0D40612B1E7}">
          <x14:formula1>
            <xm:f>Lookup!$D$4:$D$120</xm:f>
          </x14:formula1>
          <xm:sqref>P8:P207</xm:sqref>
        </x14:dataValidation>
        <x14:dataValidation type="list" allowBlank="1" showInputMessage="1" showErrorMessage="1" xr:uid="{4308C250-FA85-4482-B0A7-5E058FE991A9}">
          <x14:formula1>
            <xm:f>IF(D8&gt;24, Lookup!$G$12, Lookup!$G$11:$G$12)</xm:f>
          </x14:formula1>
          <xm:sqref>G8:G207</xm:sqref>
        </x14:dataValidation>
        <x14:dataValidation type="list" allowBlank="1" showInputMessage="1" showErrorMessage="1" xr:uid="{088AB435-7297-4EA7-BE60-2D8EF5DA2C66}">
          <x14:formula1>
            <xm:f>IF(D8&gt;24, Lookup!$G$12, Lookup!$G$11:$G$12)</xm:f>
          </x14:formula1>
          <xm:sqref>H8:H184 H186:H207 H185</xm:sqref>
        </x14:dataValidation>
        <x14:dataValidation type="list" allowBlank="1" showInputMessage="1" showErrorMessage="1" xr:uid="{BD2BC212-C48D-4035-9CD0-978BB7965D23}">
          <x14:formula1>
            <xm:f>IF(D8&gt;24, Lookup!$G$12, Lookup!$G$11:$G$12)</xm:f>
          </x14:formula1>
          <xm:sqref>I8:I187 I189:I207 I188</xm:sqref>
        </x14:dataValidation>
        <x14:dataValidation type="list" allowBlank="1" showInputMessage="1" showErrorMessage="1" xr:uid="{BCFFF845-5D19-450B-AF27-E6DB5143252F}">
          <x14:formula1>
            <xm:f>IF(D8&lt;18, Lookup!$G$14, Lookup!$G$11:$G$13)</xm:f>
          </x14:formula1>
          <xm:sqref>F8:F207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016"/>
  <sheetViews>
    <sheetView showGridLines="0" topLeftCell="A14" zoomScale="85" zoomScaleNormal="85" workbookViewId="0">
      <selection activeCell="I43" sqref="I43"/>
    </sheetView>
  </sheetViews>
  <sheetFormatPr defaultColWidth="12.625" defaultRowHeight="15" customHeight="1" x14ac:dyDescent="0.3"/>
  <cols>
    <col min="1" max="1" width="1.625" style="12" customWidth="1"/>
    <col min="2" max="2" width="28.75" style="12" customWidth="1"/>
    <col min="3" max="3" width="47.125" style="12" bestFit="1" customWidth="1"/>
    <col min="4" max="4" width="17.625" style="12" customWidth="1"/>
    <col min="5" max="5" width="4.625" style="23" customWidth="1"/>
    <col min="6" max="6" width="22.5" style="12" customWidth="1"/>
    <col min="7" max="7" width="4.625" style="23" customWidth="1"/>
    <col min="8" max="8" width="17.5" style="12" customWidth="1"/>
    <col min="9" max="9" width="4.625" style="23" customWidth="1"/>
    <col min="10" max="10" width="17.5" style="12" customWidth="1"/>
    <col min="11" max="26" width="7.625" style="12" customWidth="1"/>
    <col min="27" max="16384" width="12.625" style="12"/>
  </cols>
  <sheetData>
    <row r="1" spans="1:26" ht="31.5" customHeight="1" x14ac:dyDescent="0.35">
      <c r="A1" s="15"/>
      <c r="B1" s="232" t="s">
        <v>416</v>
      </c>
      <c r="C1" s="233"/>
      <c r="D1" s="233"/>
      <c r="E1" s="233"/>
      <c r="F1" s="233"/>
      <c r="G1" s="233"/>
      <c r="H1" s="233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x14ac:dyDescent="0.3">
      <c r="A2" s="15"/>
      <c r="B2" s="234" t="s">
        <v>40</v>
      </c>
      <c r="C2" s="235"/>
      <c r="D2" s="235"/>
      <c r="E2" s="235"/>
      <c r="F2" s="235"/>
      <c r="G2" s="235"/>
      <c r="H2" s="23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5">
      <c r="A3" s="15"/>
      <c r="B3" s="240" t="s">
        <v>0</v>
      </c>
      <c r="C3" s="241"/>
      <c r="D3" s="241"/>
      <c r="E3" s="241"/>
      <c r="F3" s="241"/>
      <c r="G3" s="241"/>
      <c r="H3" s="241"/>
      <c r="I3" s="241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x14ac:dyDescent="0.25">
      <c r="A4" s="15"/>
      <c r="B4" s="24"/>
      <c r="C4" s="24"/>
      <c r="D4" s="24"/>
      <c r="E4" s="25"/>
      <c r="F4" s="24"/>
      <c r="G4" s="25"/>
      <c r="H4" s="24"/>
      <c r="I4" s="2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 x14ac:dyDescent="0.25">
      <c r="A5" s="15"/>
      <c r="B5" s="26" t="s">
        <v>1</v>
      </c>
      <c r="C5" s="4" t="str">
        <f>IF(ISBLANK('Project Information'!D4),"", 'Project Information'!D4)</f>
        <v/>
      </c>
      <c r="D5" s="24"/>
      <c r="E5" s="25"/>
      <c r="F5" s="24"/>
      <c r="G5" s="25"/>
      <c r="H5" s="24"/>
      <c r="I5" s="2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x14ac:dyDescent="0.25">
      <c r="A6" s="15"/>
      <c r="B6" s="26" t="s">
        <v>2</v>
      </c>
      <c r="C6" s="4" t="str">
        <f>IF(ISBLANK('Project Information'!D5),"", 'Project Information'!D5)</f>
        <v/>
      </c>
      <c r="D6" s="24"/>
      <c r="E6" s="25"/>
      <c r="F6" s="24"/>
      <c r="G6" s="25"/>
      <c r="H6" s="24"/>
      <c r="I6" s="2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x14ac:dyDescent="0.25">
      <c r="A7" s="15"/>
      <c r="B7" s="27" t="s">
        <v>41</v>
      </c>
      <c r="C7" s="4" t="str">
        <f>IF(ISBLANK('Project Information'!D6),"", 'Project Information'!D6)</f>
        <v/>
      </c>
      <c r="D7" s="24"/>
      <c r="E7" s="25"/>
      <c r="F7" s="24"/>
      <c r="G7" s="25"/>
      <c r="H7" s="24"/>
      <c r="I7" s="2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x14ac:dyDescent="0.25">
      <c r="A8" s="15"/>
      <c r="B8" s="27" t="s">
        <v>42</v>
      </c>
      <c r="C8" s="4" t="str">
        <f>IF(ISBLANK('Project Information'!D7),"", 'Project Information'!D7)</f>
        <v/>
      </c>
      <c r="D8" s="24"/>
      <c r="E8" s="25"/>
      <c r="F8" s="24"/>
      <c r="G8" s="25"/>
      <c r="H8" s="24"/>
      <c r="I8" s="2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x14ac:dyDescent="0.25">
      <c r="A9" s="15"/>
      <c r="B9" s="26" t="s">
        <v>5</v>
      </c>
      <c r="C9" s="4">
        <f>'Project Information'!D8</f>
        <v>0</v>
      </c>
      <c r="D9" s="24"/>
      <c r="E9" s="25"/>
      <c r="F9" s="24"/>
      <c r="G9" s="25"/>
      <c r="H9" s="24"/>
      <c r="I9" s="2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x14ac:dyDescent="0.25">
      <c r="A10" s="15"/>
      <c r="B10" s="26" t="s">
        <v>6</v>
      </c>
      <c r="C10" s="4">
        <f>'Project Information'!D9</f>
        <v>0</v>
      </c>
      <c r="D10" s="24"/>
      <c r="E10" s="25"/>
      <c r="F10" s="24"/>
      <c r="G10" s="25"/>
      <c r="H10" s="24"/>
      <c r="I10" s="2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x14ac:dyDescent="0.25">
      <c r="A11" s="15"/>
      <c r="B11" s="24"/>
      <c r="C11" s="24"/>
      <c r="D11" s="24"/>
      <c r="E11" s="25"/>
      <c r="F11" s="24"/>
      <c r="G11" s="25"/>
      <c r="H11" s="24"/>
      <c r="I11" s="2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customFormat="1" ht="23.25" x14ac:dyDescent="0.3">
      <c r="A12" s="1"/>
      <c r="B12" s="236" t="s">
        <v>43</v>
      </c>
      <c r="C12" s="237"/>
      <c r="D12" s="237"/>
      <c r="E12" s="237"/>
      <c r="F12" s="237"/>
      <c r="G12" s="237"/>
      <c r="H12" s="237"/>
      <c r="I12" s="2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customFormat="1" ht="23.25" customHeight="1" x14ac:dyDescent="0.3">
      <c r="A13" s="1"/>
      <c r="B13" s="238" t="s">
        <v>44</v>
      </c>
      <c r="C13" s="239"/>
      <c r="D13" s="29" t="s">
        <v>45</v>
      </c>
      <c r="E13" s="30"/>
      <c r="F13" s="29" t="s">
        <v>37</v>
      </c>
      <c r="G13" s="30"/>
      <c r="H13" s="29" t="s">
        <v>46</v>
      </c>
      <c r="I13" s="3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customFormat="1" ht="71.25" customHeight="1" x14ac:dyDescent="0.3">
      <c r="A14" s="1"/>
      <c r="B14" s="219"/>
      <c r="C14" s="239"/>
      <c r="D14" s="31" t="s">
        <v>47</v>
      </c>
      <c r="E14" s="32"/>
      <c r="F14" s="31" t="s">
        <v>48</v>
      </c>
      <c r="G14" s="33"/>
      <c r="H14" s="31" t="s">
        <v>49</v>
      </c>
      <c r="I14" s="3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customFormat="1" ht="18.75" x14ac:dyDescent="0.3">
      <c r="A15" s="1"/>
      <c r="B15" s="34"/>
      <c r="C15" s="35" t="s">
        <v>50</v>
      </c>
      <c r="D15" s="36">
        <f>SUMIF('Client Level Data'!C:C,"Adults Only",'Client Level Data'!Q:Q)</f>
        <v>0</v>
      </c>
      <c r="E15" s="30"/>
      <c r="F15" s="37">
        <f>SUMIF('Client Level Data'!C:C,"Adults &amp; Children",'Client Level Data'!Q:Q)</f>
        <v>0</v>
      </c>
      <c r="G15" s="30"/>
      <c r="H15" s="38">
        <f>SUMIF('Client Level Data'!C:C,"Children Only",'Client Level Data'!Q:Q)</f>
        <v>0</v>
      </c>
      <c r="I15" s="3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customFormat="1" ht="18.75" x14ac:dyDescent="0.3">
      <c r="A16" s="1"/>
      <c r="B16" s="39"/>
      <c r="C16" s="35" t="s">
        <v>51</v>
      </c>
      <c r="D16" s="38">
        <f>COUNTIF('Client Level Data'!C:C,"Adults Only")</f>
        <v>0</v>
      </c>
      <c r="E16" s="30" t="str">
        <f>IF(D16&gt;=D15,LEFT(E28,1),RIGHT(E28,1))</f>
        <v>a</v>
      </c>
      <c r="F16" s="38">
        <f>COUNTIF('Client Level Data'!C:C,"Adults &amp; Children")</f>
        <v>0</v>
      </c>
      <c r="G16" s="30" t="str">
        <f>IF(F16&gt;=(F15*2),LEFT(G28,1),RIGHT(G28,1))</f>
        <v>a</v>
      </c>
      <c r="H16" s="36">
        <f>COUNTIF('Client Level Data'!C:C,"Children Only")</f>
        <v>0</v>
      </c>
      <c r="I16" s="30" t="str">
        <f>IF(H16&gt;=H15,LEFT(I28,1),RIGHT(I28,1))</f>
        <v>a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customFormat="1" ht="15.75" x14ac:dyDescent="0.3">
      <c r="A17" s="1"/>
      <c r="B17" s="40" t="s">
        <v>52</v>
      </c>
      <c r="C17" s="40"/>
      <c r="D17" s="40"/>
      <c r="E17" s="41"/>
      <c r="F17" s="40"/>
      <c r="G17" s="41"/>
      <c r="H17" s="40"/>
      <c r="I17" s="4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customFormat="1" ht="15.75" x14ac:dyDescent="0.3">
      <c r="A18" s="1"/>
      <c r="B18" s="34"/>
      <c r="C18" s="42" t="s">
        <v>53</v>
      </c>
      <c r="D18" s="43" t="s">
        <v>54</v>
      </c>
      <c r="E18" s="30"/>
      <c r="F18" s="36">
        <f>COUNTIFS('Client Level Data'!C:C,"Adults &amp; Children",'Client Level Data'!D:D,"&lt;18")</f>
        <v>0</v>
      </c>
      <c r="G18" s="30"/>
      <c r="H18" s="36">
        <f>H16</f>
        <v>0</v>
      </c>
      <c r="I18" s="3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customFormat="1" ht="15.75" x14ac:dyDescent="0.3">
      <c r="A19" s="1"/>
      <c r="B19" s="34"/>
      <c r="C19" s="42" t="s">
        <v>55</v>
      </c>
      <c r="D19" s="36">
        <f>COUNTIFS('Client Level Data'!C:C,"Adults Only",'Client Level Data'!D:D,"&gt;=18",'Client Level Data'!D:D,"&lt;=24")</f>
        <v>0</v>
      </c>
      <c r="E19" s="30"/>
      <c r="F19" s="36">
        <f>COUNTIFS('Client Level Data'!C:C,"Adults &amp; Children",'Client Level Data'!D:D,"&gt;17",'Client Level Data'!D:D,"&lt;25")</f>
        <v>0</v>
      </c>
      <c r="G19" s="30"/>
      <c r="H19" s="44" t="s">
        <v>54</v>
      </c>
      <c r="I19" s="3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customFormat="1" ht="15.75" x14ac:dyDescent="0.3">
      <c r="A20" s="1"/>
      <c r="B20" s="34"/>
      <c r="C20" s="42" t="s">
        <v>56</v>
      </c>
      <c r="D20" s="36">
        <f>COUNTIFS('Client Level Data'!C:C,"Adults Only",'Client Level Data'!D:D,"&gt;=25",'Client Level Data'!D:D,"&lt;=34")</f>
        <v>0</v>
      </c>
      <c r="E20" s="30"/>
      <c r="F20" s="36">
        <f>COUNTIFS('Client Level Data'!C:C,"Adults &amp; Children",'Client Level Data'!D:D,"&gt;=25",'Client Level Data'!D:D,"&lt;=34")</f>
        <v>0</v>
      </c>
      <c r="G20" s="30"/>
      <c r="H20" s="44"/>
      <c r="I20" s="3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customFormat="1" ht="15.75" x14ac:dyDescent="0.3">
      <c r="A21" s="1"/>
      <c r="B21" s="34"/>
      <c r="C21" s="42" t="s">
        <v>57</v>
      </c>
      <c r="D21" s="36">
        <f>COUNTIFS('Client Level Data'!C:C,"Adults Only",'Client Level Data'!D:D,"&gt;=35",'Client Level Data'!D:D,"&lt;=44")</f>
        <v>0</v>
      </c>
      <c r="E21" s="30"/>
      <c r="F21" s="36">
        <f>COUNTIFS('Client Level Data'!C:C,"Adults &amp; Children",'Client Level Data'!D:D,"&gt;=35",'Client Level Data'!D:D,"&lt;=44")</f>
        <v>0</v>
      </c>
      <c r="G21" s="30"/>
      <c r="H21" s="44"/>
      <c r="I21" s="3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customFormat="1" ht="15.75" x14ac:dyDescent="0.3">
      <c r="A22" s="1"/>
      <c r="B22" s="34"/>
      <c r="C22" s="42" t="s">
        <v>58</v>
      </c>
      <c r="D22" s="36">
        <f>COUNTIFS('Client Level Data'!C:C,"Adults Only",'Client Level Data'!D:D,"&gt;=45",'Client Level Data'!D:D,"&lt;=54")</f>
        <v>0</v>
      </c>
      <c r="E22" s="30"/>
      <c r="F22" s="36">
        <f>COUNTIFS('Client Level Data'!C:C,"Adults &amp; Children",'Client Level Data'!D:D,"&gt;=45",'Client Level Data'!D:D,"&lt;=54")</f>
        <v>0</v>
      </c>
      <c r="G22" s="30"/>
      <c r="H22" s="44"/>
      <c r="I22" s="3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customFormat="1" ht="15.75" x14ac:dyDescent="0.3">
      <c r="A23" s="1"/>
      <c r="B23" s="34"/>
      <c r="C23" s="42" t="s">
        <v>59</v>
      </c>
      <c r="D23" s="36">
        <f>COUNTIFS('Client Level Data'!C:C,"Adults Only",'Client Level Data'!D:D,"&gt;=55",'Client Level Data'!D:D,"&lt;=64")</f>
        <v>0</v>
      </c>
      <c r="E23" s="30"/>
      <c r="F23" s="36">
        <f>COUNTIFS('Client Level Data'!C:C,"Adults &amp; Children",'Client Level Data'!D:D,"&gt;=55",'Client Level Data'!D:D,"&lt;=64")</f>
        <v>0</v>
      </c>
      <c r="G23" s="30"/>
      <c r="H23" s="44"/>
      <c r="I23" s="3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customFormat="1" ht="15.75" x14ac:dyDescent="0.3">
      <c r="A24" s="1"/>
      <c r="B24" s="34"/>
      <c r="C24" s="42" t="s">
        <v>60</v>
      </c>
      <c r="D24" s="36">
        <f>COUNTIFS('Client Level Data'!C:C,"Adults Only",'Client Level Data'!D:D,"&gt;=65")</f>
        <v>0</v>
      </c>
      <c r="E24" s="28"/>
      <c r="F24" s="36">
        <f>COUNTIFS('Client Level Data'!C:C,"Adults &amp; Children",'Client Level Data'!D:D,"&gt;=65")</f>
        <v>0</v>
      </c>
      <c r="G24" s="28"/>
      <c r="H24" s="44" t="s">
        <v>54</v>
      </c>
      <c r="I24" s="2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customFormat="1" ht="15.75" x14ac:dyDescent="0.3">
      <c r="A25" s="1"/>
      <c r="B25" s="34"/>
      <c r="C25" s="42" t="s">
        <v>61</v>
      </c>
      <c r="D25" s="36">
        <f>COUNTIFS('Client Level Data'!A:A,"Adults Only,'Client Level Data'!D:D,""")</f>
        <v>0</v>
      </c>
      <c r="E25" s="30" t="str">
        <f>IF(SUM(D19:D24,D25)=D16,LEFT(E28,1),RIGHT(E28,1))</f>
        <v>a</v>
      </c>
      <c r="F25" s="36">
        <f>COUNTIFS('Client Level Data'!C:C,"Adults &amp; Children",'Client Level Data'!D:D,"")</f>
        <v>0</v>
      </c>
      <c r="G25" s="30" t="str">
        <f>IF(SUM(F18:F24,F25)=F16,LEFT(G28,1),RIGHT(G28,1))</f>
        <v>a</v>
      </c>
      <c r="H25" s="44"/>
      <c r="I25" s="30" t="str">
        <f>IF(SUM(H18,H25)=H16,LEFT(I28,1),RIGHT(I28,1))</f>
        <v>a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customFormat="1" ht="15.75" customHeight="1" x14ac:dyDescent="0.3">
      <c r="A26" s="1"/>
      <c r="B26" s="40" t="s">
        <v>63</v>
      </c>
      <c r="C26" s="40"/>
      <c r="D26" s="40"/>
      <c r="E26" s="41"/>
      <c r="F26" s="40"/>
      <c r="G26" s="41"/>
      <c r="H26" s="40"/>
      <c r="I26" s="4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customFormat="1" ht="15.75" customHeight="1" x14ac:dyDescent="0.3">
      <c r="A27" s="1"/>
      <c r="B27" s="34"/>
      <c r="C27" s="46" t="s">
        <v>64</v>
      </c>
      <c r="D27" s="36">
        <f>COUNTIFS('Client Level Data'!$C:$C,"Adults Only",'Client Level Data'!$E:$E,$C27)</f>
        <v>0</v>
      </c>
      <c r="E27" s="45" t="s">
        <v>62</v>
      </c>
      <c r="F27" s="36">
        <f>COUNTIFS('Client Level Data'!$C:$C,"Adults &amp; Children",'Client Level Data'!$E:$E,$C27)</f>
        <v>0</v>
      </c>
      <c r="G27" s="45" t="s">
        <v>62</v>
      </c>
      <c r="H27" s="36">
        <f>COUNTIFS('Client Level Data'!$C:$C,"Children Only",'Client Level Data'!$E:$E,$C27)</f>
        <v>0</v>
      </c>
      <c r="I27" s="45" t="s">
        <v>62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customFormat="1" ht="15.75" customHeight="1" x14ac:dyDescent="0.3">
      <c r="A28" s="1"/>
      <c r="B28" s="34"/>
      <c r="C28" s="46" t="s">
        <v>418</v>
      </c>
      <c r="D28" s="36">
        <f>COUNTIFS('Client Level Data'!$C:$C,"Adults Only",'Client Level Data'!$E:$E,$C28)</f>
        <v>0</v>
      </c>
      <c r="E28" s="45" t="s">
        <v>62</v>
      </c>
      <c r="F28" s="36">
        <f>COUNTIFS('Client Level Data'!$C:$C,"Adults &amp; Children",'Client Level Data'!$E:$E,$C28)</f>
        <v>0</v>
      </c>
      <c r="G28" s="45" t="s">
        <v>62</v>
      </c>
      <c r="H28" s="36">
        <f>COUNTIFS('Client Level Data'!$C:$C,"Children Only",'Client Level Data'!$E:$E,$C28)</f>
        <v>0</v>
      </c>
      <c r="I28" s="45" t="s">
        <v>62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customFormat="1" ht="15.75" customHeight="1" x14ac:dyDescent="0.3">
      <c r="A29" s="1"/>
      <c r="B29" s="34"/>
      <c r="C29" s="46" t="s">
        <v>65</v>
      </c>
      <c r="D29" s="36">
        <f>COUNTIFS('Client Level Data'!$C:$C,"Adults Only",'Client Level Data'!$E:$E,$C29)</f>
        <v>0</v>
      </c>
      <c r="E29" s="45"/>
      <c r="F29" s="36">
        <f>COUNTIFS('Client Level Data'!$C:$C,"Adults &amp; Children",'Client Level Data'!$E:$E,$C29)</f>
        <v>0</v>
      </c>
      <c r="G29" s="45"/>
      <c r="H29" s="36">
        <f>COUNTIFS('Client Level Data'!$C:$C,"Children Only",'Client Level Data'!$E:$E,$C29)</f>
        <v>0</v>
      </c>
      <c r="I29" s="4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customFormat="1" ht="15.75" customHeight="1" x14ac:dyDescent="0.3">
      <c r="A30" s="1"/>
      <c r="B30" s="34"/>
      <c r="C30" s="46" t="s">
        <v>419</v>
      </c>
      <c r="D30" s="36">
        <f>COUNTIFS('Client Level Data'!$C:$C,"Adults Only",'Client Level Data'!$E:$E,$C30)</f>
        <v>0</v>
      </c>
      <c r="E30" s="45"/>
      <c r="F30" s="36">
        <f>COUNTIFS('Client Level Data'!$C:$C,"Adults &amp; Children",'Client Level Data'!$E:$E,$C30)</f>
        <v>0</v>
      </c>
      <c r="G30" s="45"/>
      <c r="H30" s="36">
        <f>COUNTIFS('Client Level Data'!$C:$C,"Children Only",'Client Level Data'!$E:$E,$C30)</f>
        <v>0</v>
      </c>
      <c r="I30" s="4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customFormat="1" ht="15.75" customHeight="1" x14ac:dyDescent="0.3">
      <c r="A31" s="1"/>
      <c r="B31" s="34"/>
      <c r="C31" s="46" t="s">
        <v>66</v>
      </c>
      <c r="D31" s="36">
        <f>COUNTIFS('Client Level Data'!$C:$C,"Adults Only",'Client Level Data'!$E:$E,$C31)</f>
        <v>0</v>
      </c>
      <c r="E31" s="45"/>
      <c r="F31" s="36">
        <f>COUNTIFS('Client Level Data'!$C:$C,"Adults &amp; Children",'Client Level Data'!$E:$E,$C31)</f>
        <v>0</v>
      </c>
      <c r="G31" s="45"/>
      <c r="H31" s="36">
        <f>COUNTIFS('Client Level Data'!$C:$C,"Children Only",'Client Level Data'!$E:$E,$C31)</f>
        <v>0</v>
      </c>
      <c r="I31" s="4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customFormat="1" ht="15.75" customHeight="1" x14ac:dyDescent="0.3">
      <c r="A32" s="1"/>
      <c r="B32" s="34"/>
      <c r="C32" s="46" t="s">
        <v>420</v>
      </c>
      <c r="D32" s="36">
        <f>COUNTIFS('Client Level Data'!$C:$C,"Adults Only",'Client Level Data'!$E:$E,$C32)</f>
        <v>0</v>
      </c>
      <c r="E32" s="45"/>
      <c r="F32" s="36">
        <f>COUNTIFS('Client Level Data'!$C:$C,"Adults &amp; Children",'Client Level Data'!$E:$E,$C32)</f>
        <v>0</v>
      </c>
      <c r="G32" s="45"/>
      <c r="H32" s="36">
        <f>COUNTIFS('Client Level Data'!$C:$C,"Children Only",'Client Level Data'!$E:$E,$C32)</f>
        <v>0</v>
      </c>
      <c r="I32" s="4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customFormat="1" ht="15.75" customHeight="1" x14ac:dyDescent="0.3">
      <c r="A33" s="1"/>
      <c r="B33" s="34"/>
      <c r="C33" s="46" t="s">
        <v>421</v>
      </c>
      <c r="D33" s="36">
        <f>COUNTIFS('Client Level Data'!$C:$C,"Adults Only",'Client Level Data'!$E:$E,$C33)</f>
        <v>0</v>
      </c>
      <c r="E33" s="28"/>
      <c r="F33" s="36">
        <f>COUNTIFS('Client Level Data'!$C:$C,"Adults &amp; Children",'Client Level Data'!$E:$E,$C33)</f>
        <v>0</v>
      </c>
      <c r="G33" s="28"/>
      <c r="H33" s="36">
        <f>COUNTIFS('Client Level Data'!$C:$C,"Children Only",'Client Level Data'!$E:$E,$C33)</f>
        <v>0</v>
      </c>
      <c r="I33" s="2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customFormat="1" ht="15.75" customHeight="1" x14ac:dyDescent="0.3">
      <c r="A34" s="1"/>
      <c r="B34" s="34"/>
      <c r="C34" s="46" t="s">
        <v>67</v>
      </c>
      <c r="D34" s="36">
        <f>COUNTIFS('Client Level Data'!$C:$C,"Adults Only",'Client Level Data'!$E:$E,$C34)</f>
        <v>0</v>
      </c>
      <c r="E34" s="28"/>
      <c r="F34" s="36">
        <f>COUNTIFS('Client Level Data'!$C:$C,"Adults &amp; Children",'Client Level Data'!$E:$E,$C34)</f>
        <v>0</v>
      </c>
      <c r="G34" s="28"/>
      <c r="H34" s="36">
        <f>COUNTIFS('Client Level Data'!$C:$C,"Children Only",'Client Level Data'!$E:$E,$C34)</f>
        <v>0</v>
      </c>
      <c r="I34" s="2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customFormat="1" ht="15.75" customHeight="1" x14ac:dyDescent="0.3">
      <c r="A35" s="1"/>
      <c r="B35" s="34"/>
      <c r="C35" s="46" t="s">
        <v>422</v>
      </c>
      <c r="D35" s="36">
        <f>COUNTIFS('Client Level Data'!$C:$C,"Adults Only",'Client Level Data'!$E:$E,$C35)</f>
        <v>0</v>
      </c>
      <c r="E35" s="28"/>
      <c r="F35" s="36">
        <f>COUNTIFS('Client Level Data'!$C:$C,"Adults &amp; Children",'Client Level Data'!$E:$E,$C35)</f>
        <v>0</v>
      </c>
      <c r="G35" s="28"/>
      <c r="H35" s="36">
        <f>COUNTIFS('Client Level Data'!$C:$C,"Children Only",'Client Level Data'!$E:$E,$C35)</f>
        <v>0</v>
      </c>
      <c r="I35" s="2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customFormat="1" ht="15.75" customHeight="1" x14ac:dyDescent="0.3">
      <c r="A36" s="1"/>
      <c r="B36" s="34"/>
      <c r="C36" s="46" t="s">
        <v>68</v>
      </c>
      <c r="D36" s="36">
        <f>COUNTIFS('Client Level Data'!$C:$C,"Adults Only",'Client Level Data'!$E:$E,$C36)</f>
        <v>0</v>
      </c>
      <c r="E36" s="28"/>
      <c r="F36" s="36">
        <f>COUNTIFS('Client Level Data'!$C:$C,"Adults &amp; Children",'Client Level Data'!$E:$E,$C36)</f>
        <v>0</v>
      </c>
      <c r="G36" s="28"/>
      <c r="H36" s="36">
        <f>COUNTIFS('Client Level Data'!$C:$C,"Children Only",'Client Level Data'!$E:$E,$C36)</f>
        <v>0</v>
      </c>
      <c r="I36" s="2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customFormat="1" ht="15.75" customHeight="1" x14ac:dyDescent="0.3">
      <c r="A37" s="1"/>
      <c r="B37" s="34"/>
      <c r="C37" s="46" t="s">
        <v>423</v>
      </c>
      <c r="D37" s="36">
        <f>COUNTIFS('Client Level Data'!$C:$C,"Adults Only",'Client Level Data'!$E:$E,$C37)</f>
        <v>0</v>
      </c>
      <c r="E37" s="28"/>
      <c r="F37" s="36">
        <f>COUNTIFS('Client Level Data'!$C:$C,"Adults &amp; Children",'Client Level Data'!$E:$E,$C37)</f>
        <v>0</v>
      </c>
      <c r="G37" s="28"/>
      <c r="H37" s="36">
        <f>COUNTIFS('Client Level Data'!$C:$C,"Children Only",'Client Level Data'!$E:$E,$C37)</f>
        <v>0</v>
      </c>
      <c r="I37" s="2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customFormat="1" ht="15.75" customHeight="1" x14ac:dyDescent="0.3">
      <c r="A38" s="1"/>
      <c r="B38" s="34"/>
      <c r="C38" s="46" t="s">
        <v>69</v>
      </c>
      <c r="D38" s="36">
        <f>COUNTIFS('Client Level Data'!$C:$C,"Adults Only",'Client Level Data'!$E:$E,$C38)</f>
        <v>0</v>
      </c>
      <c r="E38" s="28"/>
      <c r="F38" s="36">
        <f>COUNTIFS('Client Level Data'!$C:$C,"Adults &amp; Children",'Client Level Data'!$E:$E,$C38)</f>
        <v>0</v>
      </c>
      <c r="G38" s="28"/>
      <c r="H38" s="36">
        <f>COUNTIFS('Client Level Data'!$C:$C,"Children Only",'Client Level Data'!$E:$E,$C38)</f>
        <v>0</v>
      </c>
      <c r="I38" s="2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customFormat="1" ht="15.75" customHeight="1" x14ac:dyDescent="0.3">
      <c r="A39" s="1"/>
      <c r="B39" s="34"/>
      <c r="C39" s="46" t="s">
        <v>424</v>
      </c>
      <c r="D39" s="36">
        <f>COUNTIFS('Client Level Data'!$C:$C,"Adults Only",'Client Level Data'!$E:$E,$C39)</f>
        <v>0</v>
      </c>
      <c r="E39" s="28"/>
      <c r="F39" s="36">
        <f>COUNTIFS('Client Level Data'!$C:$C,"Adults &amp; Children",'Client Level Data'!$E:$E,$C39)</f>
        <v>0</v>
      </c>
      <c r="G39" s="28"/>
      <c r="H39" s="36">
        <f>COUNTIFS('Client Level Data'!$C:$C,"Children Only",'Client Level Data'!$E:$E,$C39)</f>
        <v>0</v>
      </c>
      <c r="I39" s="2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customFormat="1" ht="15.75" customHeight="1" x14ac:dyDescent="0.3">
      <c r="A40" s="1"/>
      <c r="B40" s="34"/>
      <c r="C40" s="46" t="s">
        <v>425</v>
      </c>
      <c r="D40" s="36">
        <f>COUNTIFS('Client Level Data'!$C:$C,"Adults Only",'Client Level Data'!$E:$E,$C40)</f>
        <v>0</v>
      </c>
      <c r="E40" s="28"/>
      <c r="F40" s="36">
        <f>COUNTIFS('Client Level Data'!$C:$C,"Adults &amp; Children",'Client Level Data'!$E:$E,$C40)</f>
        <v>0</v>
      </c>
      <c r="G40" s="28"/>
      <c r="H40" s="36">
        <f>COUNTIFS('Client Level Data'!$C:$C,"Children Only",'Client Level Data'!$E:$E,$C40)</f>
        <v>0</v>
      </c>
      <c r="I40" s="2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customFormat="1" ht="15.75" customHeight="1" x14ac:dyDescent="0.3">
      <c r="A41" s="1"/>
      <c r="B41" s="34"/>
      <c r="C41" s="46" t="s">
        <v>426</v>
      </c>
      <c r="D41" s="36">
        <f>COUNTIFS('Client Level Data'!$C:$C,"Adults Only",'Client Level Data'!$E:$E,$C41)</f>
        <v>0</v>
      </c>
      <c r="E41" s="28"/>
      <c r="F41" s="36">
        <f>COUNTIFS('Client Level Data'!$C:$C,"Adults &amp; Children",'Client Level Data'!$E:$E,$C41)</f>
        <v>0</v>
      </c>
      <c r="G41" s="28"/>
      <c r="H41" s="36">
        <f>COUNTIFS('Client Level Data'!$C:$C,"Children Only",'Client Level Data'!$E:$E,$C41)</f>
        <v>0</v>
      </c>
      <c r="I41" s="2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customFormat="1" ht="15.75" customHeight="1" x14ac:dyDescent="0.3">
      <c r="A42" s="1"/>
      <c r="B42" s="34"/>
      <c r="C42" s="42" t="s">
        <v>61</v>
      </c>
      <c r="D42" s="36">
        <f>COUNTIFS('Client Level Data'!$C:$C,"Adults Only",'Client Level Data'!$E:$E,$C42)</f>
        <v>0</v>
      </c>
      <c r="E42" s="30" t="str">
        <f>IF(SUM(D27:D42)=D16,LEFT(E28,1),RIGHT(E28,1))</f>
        <v>a</v>
      </c>
      <c r="F42" s="36">
        <f>COUNTIFS('Client Level Data'!$C:$C,"Adults &amp; Children",'Client Level Data'!$E:$E,$C42)</f>
        <v>0</v>
      </c>
      <c r="G42" s="30" t="str">
        <f>IF(SUM(F27:F42)=F16,LEFT(G28,1),RIGHT(G28,1))</f>
        <v>a</v>
      </c>
      <c r="H42" s="36">
        <f>COUNTIFS('Client Level Data'!$C:$C,"Children Only",'Client Level Data'!$E:$E,$C42)</f>
        <v>0</v>
      </c>
      <c r="I42" s="30" t="str">
        <f>IF(SUM(H27:H42)=H16,LEFT(I28,1),RIGHT(I28,1))</f>
        <v>a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customFormat="1" ht="15.75" customHeight="1" x14ac:dyDescent="0.3">
      <c r="A43" s="1"/>
      <c r="B43" s="40" t="s">
        <v>70</v>
      </c>
      <c r="C43" s="40"/>
      <c r="D43" s="40"/>
      <c r="E43" s="41"/>
      <c r="F43" s="40"/>
      <c r="G43" s="41"/>
      <c r="H43" s="40"/>
      <c r="I43" s="4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customFormat="1" ht="15.75" customHeight="1" x14ac:dyDescent="0.3">
      <c r="A44" s="1"/>
      <c r="B44" s="34"/>
      <c r="C44" s="42" t="s">
        <v>71</v>
      </c>
      <c r="D44" s="43" t="s">
        <v>54</v>
      </c>
      <c r="E44" s="30"/>
      <c r="F44" s="36">
        <f>ROUNDUP(SUMIFS('Client Level Data'!Q:Q,'Client Level Data'!C:C,"Adults &amp; Children",'Client Level Data'!S:S,"Chronic Flag"),0)</f>
        <v>0</v>
      </c>
      <c r="G44" s="30"/>
      <c r="H44" s="43" t="s">
        <v>54</v>
      </c>
      <c r="I44" s="3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customFormat="1" ht="15.75" customHeight="1" x14ac:dyDescent="0.3">
      <c r="A45" s="1"/>
      <c r="B45" s="1"/>
      <c r="C45" s="42" t="s">
        <v>72</v>
      </c>
      <c r="D45" s="36">
        <f>COUNTIFS('Client Level Data'!C:C,"Adults Only",'Client Level Data'!S:S,"Chronic Flag")</f>
        <v>0</v>
      </c>
      <c r="E45" s="30"/>
      <c r="F45" s="36">
        <f>COUNTIFS('Client Level Data'!C:C,"Adults &amp; Children",'Client Level Data'!S:S,"Chronic Flag")</f>
        <v>0</v>
      </c>
      <c r="G45" s="30"/>
      <c r="H45" s="36">
        <f>COUNTIFS('Client Level Data'!C:C,"Children Only",'Client Level Data'!S:S,"Chronic Flag")</f>
        <v>0</v>
      </c>
      <c r="I45" s="3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customFormat="1" ht="15.75" customHeight="1" x14ac:dyDescent="0.35">
      <c r="A46" s="1"/>
      <c r="B46" s="47"/>
      <c r="C46" s="48"/>
      <c r="D46" s="49"/>
      <c r="E46" s="50"/>
      <c r="F46" s="48"/>
      <c r="G46" s="51"/>
      <c r="H46" s="47"/>
      <c r="I46" s="5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customFormat="1" ht="15.75" customHeight="1" x14ac:dyDescent="0.35">
      <c r="A47" s="1"/>
      <c r="B47" s="218" t="s">
        <v>73</v>
      </c>
      <c r="C47" s="219"/>
      <c r="D47" s="219"/>
      <c r="E47" s="219"/>
      <c r="F47" s="219"/>
      <c r="G47" s="219"/>
      <c r="H47" s="219"/>
      <c r="I47" s="2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customFormat="1" ht="15.75" customHeight="1" x14ac:dyDescent="0.3">
      <c r="A48" s="1"/>
      <c r="B48" s="220" t="s">
        <v>74</v>
      </c>
      <c r="C48" s="221"/>
      <c r="D48" s="29" t="s">
        <v>45</v>
      </c>
      <c r="E48" s="30"/>
      <c r="F48" s="29" t="s">
        <v>37</v>
      </c>
      <c r="G48" s="30"/>
      <c r="H48" s="1"/>
      <c r="I48" s="28"/>
      <c r="J48" s="5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customFormat="1" ht="15.75" customHeight="1" x14ac:dyDescent="0.3">
      <c r="A49" s="1"/>
      <c r="B49" s="222"/>
      <c r="C49" s="223"/>
      <c r="D49" s="31" t="s">
        <v>47</v>
      </c>
      <c r="E49" s="30"/>
      <c r="F49" s="31" t="s">
        <v>75</v>
      </c>
      <c r="G49" s="30"/>
      <c r="H49" s="1"/>
      <c r="I49" s="28"/>
      <c r="J49" s="5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customFormat="1" ht="15.75" customHeight="1" x14ac:dyDescent="0.3">
      <c r="A50" s="1"/>
      <c r="B50" s="34"/>
      <c r="C50" s="53" t="str">
        <f>"Total number of HOUSEHOLDS" &amp; CHAR(10) &amp; "with a Veteran"</f>
        <v>Total number of HOUSEHOLDS
with a Veteran</v>
      </c>
      <c r="D50" s="54">
        <f>ROUNDUP(SUMIFS('Client Level Data'!Q:Q,'Client Level Data'!C:C,"Adults Only",'Client Level Data'!W:W,"Vet Flag"),0)</f>
        <v>0</v>
      </c>
      <c r="E50" s="30"/>
      <c r="F50" s="54">
        <f>ROUNDUP(SUMIFS('Client Level Data'!Q:Q,'Client Level Data'!C:C,"Adults &amp; Children",'Client Level Data'!W:W,"Vet Flag"),0)</f>
        <v>0</v>
      </c>
      <c r="G50" s="30"/>
      <c r="H50" s="1"/>
      <c r="I50" s="28"/>
      <c r="J50" s="5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customFormat="1" ht="15.75" customHeight="1" x14ac:dyDescent="0.3">
      <c r="A51" s="1"/>
      <c r="B51" s="39"/>
      <c r="C51" s="55" t="str">
        <f>"Total number of PERSONS" &amp; CHAR(10) &amp; "in households with a Veteran"</f>
        <v>Total number of PERSONS
in households with a Veteran</v>
      </c>
      <c r="D51" s="54">
        <f>COUNTIFS('Client Level Data'!C:C,"Adults Only",'Client Level Data'!W:W,"Vet Flag")</f>
        <v>0</v>
      </c>
      <c r="E51" s="56" t="str">
        <f>IF(D51&lt;=D16,LEFT(E28,1),RIGHT(E28,1))</f>
        <v>a</v>
      </c>
      <c r="F51" s="54">
        <f>COUNTIFS('Client Level Data'!C:C,"Adults &amp; Children",'Client Level Data'!W:W,"Vet Flag")</f>
        <v>0</v>
      </c>
      <c r="G51" s="56" t="str">
        <f>IF(F51&lt;=F16,LEFT(G28,1),RIGHT(G28,1))</f>
        <v>a</v>
      </c>
      <c r="H51" s="1"/>
      <c r="I51" s="28"/>
      <c r="J51" s="5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customFormat="1" ht="15.75" customHeight="1" x14ac:dyDescent="0.3">
      <c r="A52" s="1"/>
      <c r="B52" s="39"/>
      <c r="C52" s="58" t="s">
        <v>76</v>
      </c>
      <c r="D52" s="54">
        <f>COUNTIFS('Client Level Data'!C:C,"Adults Only",'Client Level Data'!F:F,"Yes")</f>
        <v>0</v>
      </c>
      <c r="E52" s="56" t="str">
        <f>IF(D52&lt;=D51,LEFT(E28,1),RIGHT(E28,1))</f>
        <v>a</v>
      </c>
      <c r="F52" s="54">
        <f>COUNTIFS('Client Level Data'!C:C,"Adults &amp; Children",'Client Level Data'!F:F,"Yes")</f>
        <v>0</v>
      </c>
      <c r="G52" s="56" t="str">
        <f>IF(F52&lt;=F51,LEFT(G28,1),RIGHT(G28,1))</f>
        <v>a</v>
      </c>
      <c r="H52" s="1"/>
      <c r="I52" s="28"/>
      <c r="J52" s="5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customFormat="1" ht="15.75" customHeight="1" x14ac:dyDescent="0.3">
      <c r="A53" s="1"/>
      <c r="B53" s="40" t="s">
        <v>77</v>
      </c>
      <c r="C53" s="40"/>
      <c r="D53" s="40"/>
      <c r="E53" s="59"/>
      <c r="F53" s="40"/>
      <c r="G53" s="41"/>
      <c r="H53" s="1"/>
      <c r="I53" s="28"/>
      <c r="J53" s="6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customFormat="1" ht="15.75" customHeight="1" x14ac:dyDescent="0.3">
      <c r="A54" s="1"/>
      <c r="B54" s="34"/>
      <c r="C54" s="46" t="s">
        <v>64</v>
      </c>
      <c r="D54" s="36">
        <f>COUNTIFS('Client Level Data'!C:C,"Adults Only",'Client Level Data'!E:E,$C54,'Client Level Data'!F:F,"Yes")</f>
        <v>0</v>
      </c>
      <c r="E54" s="45" t="s">
        <v>62</v>
      </c>
      <c r="F54" s="36">
        <f>COUNTIFS('Client Level Data'!C:C,"Adults &amp; Children",'Client Level Data'!E:E,$C54,'Client Level Data'!F:F,"Yes")</f>
        <v>0</v>
      </c>
      <c r="G54" s="45" t="s">
        <v>62</v>
      </c>
      <c r="H54" s="1"/>
      <c r="I54" s="28"/>
      <c r="J54" s="4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customFormat="1" ht="15.75" customHeight="1" x14ac:dyDescent="0.3">
      <c r="A55" s="1"/>
      <c r="B55" s="34"/>
      <c r="C55" s="46" t="s">
        <v>418</v>
      </c>
      <c r="D55" s="36">
        <f>COUNTIFS('Client Level Data'!C:C,"Adults Only",'Client Level Data'!E:E,$C55,'Client Level Data'!F:F,"Yes")</f>
        <v>0</v>
      </c>
      <c r="E55" s="45"/>
      <c r="F55" s="36">
        <f>COUNTIFS('Client Level Data'!C:C,"Adults &amp; Children",'Client Level Data'!E:E,$C55,'Client Level Data'!F:F,"Yes")</f>
        <v>0</v>
      </c>
      <c r="G55" s="45"/>
      <c r="H55" s="1"/>
      <c r="I55" s="28"/>
      <c r="J55" s="4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customFormat="1" ht="15.75" customHeight="1" x14ac:dyDescent="0.3">
      <c r="A56" s="1"/>
      <c r="B56" s="34"/>
      <c r="C56" s="46" t="s">
        <v>65</v>
      </c>
      <c r="D56" s="36">
        <f>COUNTIFS('Client Level Data'!C:C,"Adults Only",'Client Level Data'!E:E,$C56,'Client Level Data'!F:F,"Yes")</f>
        <v>0</v>
      </c>
      <c r="E56" s="45"/>
      <c r="F56" s="36">
        <f>COUNTIFS('Client Level Data'!C:C,"Adults &amp; Children",'Client Level Data'!E:E,$C56,'Client Level Data'!F:F,"Yes")</f>
        <v>0</v>
      </c>
      <c r="G56" s="45"/>
      <c r="H56" s="1"/>
      <c r="I56" s="28"/>
      <c r="J56" s="4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customFormat="1" ht="15.75" customHeight="1" x14ac:dyDescent="0.3">
      <c r="A57" s="1"/>
      <c r="B57" s="34"/>
      <c r="C57" s="46" t="s">
        <v>419</v>
      </c>
      <c r="D57" s="36">
        <f>COUNTIFS('Client Level Data'!C:C,"Adults Only",'Client Level Data'!E:E,$C57,'Client Level Data'!F:F,"Yes")</f>
        <v>0</v>
      </c>
      <c r="E57" s="45"/>
      <c r="F57" s="36">
        <f>COUNTIFS('Client Level Data'!C:C,"Adults &amp; Children",'Client Level Data'!E:E,$C57,'Client Level Data'!F:F,"Yes")</f>
        <v>0</v>
      </c>
      <c r="G57" s="45"/>
      <c r="H57" s="1"/>
      <c r="I57" s="28"/>
      <c r="J57" s="4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customFormat="1" ht="15.75" customHeight="1" x14ac:dyDescent="0.3">
      <c r="A58" s="1"/>
      <c r="B58" s="34"/>
      <c r="C58" s="46" t="s">
        <v>66</v>
      </c>
      <c r="D58" s="36">
        <f>COUNTIFS('Client Level Data'!C:C,"Adults Only",'Client Level Data'!E:E,$C58,'Client Level Data'!F:F,"Yes")</f>
        <v>0</v>
      </c>
      <c r="E58" s="45"/>
      <c r="F58" s="36">
        <f>COUNTIFS('Client Level Data'!C:C,"Adults &amp; Children",'Client Level Data'!E:E,$C58,'Client Level Data'!F:F,"Yes")</f>
        <v>0</v>
      </c>
      <c r="G58" s="45"/>
      <c r="H58" s="1"/>
      <c r="I58" s="28"/>
      <c r="J58" s="4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customFormat="1" ht="15.75" customHeight="1" x14ac:dyDescent="0.3">
      <c r="A59" s="1"/>
      <c r="B59" s="34"/>
      <c r="C59" s="46" t="s">
        <v>420</v>
      </c>
      <c r="D59" s="36">
        <f>COUNTIFS('Client Level Data'!C:C,"Adults Only",'Client Level Data'!E:E,$C59,'Client Level Data'!F:F,"Yes")</f>
        <v>0</v>
      </c>
      <c r="E59" s="45"/>
      <c r="F59" s="36">
        <f>COUNTIFS('Client Level Data'!C:C,"Adults &amp; Children",'Client Level Data'!E:E,$C59,'Client Level Data'!F:F,"Yes")</f>
        <v>0</v>
      </c>
      <c r="G59" s="45"/>
      <c r="H59" s="1"/>
      <c r="I59" s="28"/>
      <c r="J59" s="4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customFormat="1" ht="15.75" customHeight="1" x14ac:dyDescent="0.3">
      <c r="A60" s="1"/>
      <c r="B60" s="34"/>
      <c r="C60" s="46" t="s">
        <v>421</v>
      </c>
      <c r="D60" s="36">
        <f>COUNTIFS('Client Level Data'!C:C,"Adults Only",'Client Level Data'!E:E,$C60,'Client Level Data'!F:F,"Yes")</f>
        <v>0</v>
      </c>
      <c r="E60" s="45"/>
      <c r="F60" s="36">
        <f>COUNTIFS('Client Level Data'!C:C,"Adults &amp; Children",'Client Level Data'!E:E,$C60,'Client Level Data'!F:F,"Yes")</f>
        <v>0</v>
      </c>
      <c r="G60" s="45"/>
      <c r="H60" s="1"/>
      <c r="I60" s="28"/>
      <c r="J60" s="4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customFormat="1" ht="15.75" customHeight="1" x14ac:dyDescent="0.3">
      <c r="A61" s="1"/>
      <c r="B61" s="34"/>
      <c r="C61" s="46" t="s">
        <v>67</v>
      </c>
      <c r="D61" s="36">
        <f>COUNTIFS('Client Level Data'!C:C,"Adults Only",'Client Level Data'!E:E,$C61,'Client Level Data'!F:F,"Yes")</f>
        <v>0</v>
      </c>
      <c r="E61" s="45"/>
      <c r="F61" s="36">
        <f>COUNTIFS('Client Level Data'!C:C,"Adults &amp; Children",'Client Level Data'!E:E,$C61,'Client Level Data'!F:F,"Yes")</f>
        <v>0</v>
      </c>
      <c r="G61" s="45"/>
      <c r="H61" s="1"/>
      <c r="I61" s="28"/>
      <c r="J61" s="4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customFormat="1" ht="15.75" customHeight="1" x14ac:dyDescent="0.3">
      <c r="A62" s="1"/>
      <c r="B62" s="34"/>
      <c r="C62" s="46" t="s">
        <v>422</v>
      </c>
      <c r="D62" s="36">
        <f>COUNTIFS('Client Level Data'!C:C,"Adults Only",'Client Level Data'!E:E,$C62,'Client Level Data'!F:F,"Yes")</f>
        <v>0</v>
      </c>
      <c r="E62" s="45"/>
      <c r="F62" s="36">
        <f>COUNTIFS('Client Level Data'!C:C,"Adults &amp; Children",'Client Level Data'!E:E,$C62,'Client Level Data'!F:F,"Yes")</f>
        <v>0</v>
      </c>
      <c r="G62" s="45"/>
      <c r="H62" s="1"/>
      <c r="I62" s="28"/>
      <c r="J62" s="4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customFormat="1" ht="15.75" customHeight="1" x14ac:dyDescent="0.3">
      <c r="A63" s="1"/>
      <c r="B63" s="34"/>
      <c r="C63" s="46" t="s">
        <v>68</v>
      </c>
      <c r="D63" s="36">
        <f>COUNTIFS('Client Level Data'!C:C,"Adults Only",'Client Level Data'!E:E,$C63,'Client Level Data'!F:F,"Yes")</f>
        <v>0</v>
      </c>
      <c r="E63" s="45"/>
      <c r="F63" s="36">
        <f>COUNTIFS('Client Level Data'!C:C,"Adults &amp; Children",'Client Level Data'!E:E,$C63,'Client Level Data'!F:F,"Yes")</f>
        <v>0</v>
      </c>
      <c r="G63" s="45"/>
      <c r="H63" s="1"/>
      <c r="I63" s="28"/>
      <c r="J63" s="4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customFormat="1" ht="15.75" customHeight="1" x14ac:dyDescent="0.3">
      <c r="A64" s="1"/>
      <c r="B64" s="34"/>
      <c r="C64" s="46" t="s">
        <v>423</v>
      </c>
      <c r="D64" s="36">
        <f>COUNTIFS('Client Level Data'!C:C,"Adults Only",'Client Level Data'!E:E,$C64,'Client Level Data'!F:F,"Yes")</f>
        <v>0</v>
      </c>
      <c r="E64" s="45"/>
      <c r="F64" s="36">
        <f>COUNTIFS('Client Level Data'!C:C,"Adults &amp; Children",'Client Level Data'!E:E,$C64,'Client Level Data'!F:F,"Yes")</f>
        <v>0</v>
      </c>
      <c r="G64" s="45"/>
      <c r="H64" s="1"/>
      <c r="I64" s="28"/>
      <c r="J64" s="4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customFormat="1" ht="15.75" customHeight="1" x14ac:dyDescent="0.3">
      <c r="A65" s="1"/>
      <c r="B65" s="34"/>
      <c r="C65" s="46" t="s">
        <v>69</v>
      </c>
      <c r="D65" s="36">
        <f>COUNTIFS('Client Level Data'!C:C,"Adults Only",'Client Level Data'!E:E,$C65,'Client Level Data'!F:F,"Yes")</f>
        <v>0</v>
      </c>
      <c r="E65" s="45"/>
      <c r="F65" s="36">
        <f>COUNTIFS('Client Level Data'!C:C,"Adults &amp; Children",'Client Level Data'!E:E,$C65,'Client Level Data'!F:F,"Yes")</f>
        <v>0</v>
      </c>
      <c r="G65" s="45"/>
      <c r="H65" s="1"/>
      <c r="I65" s="28"/>
      <c r="J65" s="4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customFormat="1" ht="15.75" customHeight="1" x14ac:dyDescent="0.3">
      <c r="A66" s="1"/>
      <c r="B66" s="34"/>
      <c r="C66" s="46" t="s">
        <v>424</v>
      </c>
      <c r="D66" s="36">
        <f>COUNTIFS('Client Level Data'!C:C,"Adults Only",'Client Level Data'!E:E,$C66,'Client Level Data'!F:F,"Yes")</f>
        <v>0</v>
      </c>
      <c r="E66" s="45"/>
      <c r="F66" s="36">
        <f>COUNTIFS('Client Level Data'!C:C,"Adults &amp; Children",'Client Level Data'!E:E,$C66,'Client Level Data'!F:F,"Yes")</f>
        <v>0</v>
      </c>
      <c r="G66" s="45"/>
      <c r="H66" s="1"/>
      <c r="I66" s="28"/>
      <c r="J66" s="4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customFormat="1" ht="15.75" customHeight="1" x14ac:dyDescent="0.3">
      <c r="A67" s="1"/>
      <c r="B67" s="34"/>
      <c r="C67" s="46" t="s">
        <v>425</v>
      </c>
      <c r="D67" s="36">
        <f>COUNTIFS('Client Level Data'!C:C,"Adults Only",'Client Level Data'!E:E,$C67,'Client Level Data'!F:F,"Yes")</f>
        <v>0</v>
      </c>
      <c r="E67" s="45"/>
      <c r="F67" s="36">
        <f>COUNTIFS('Client Level Data'!C:C,"Adults &amp; Children",'Client Level Data'!E:E,$C67,'Client Level Data'!F:F,"Yes")</f>
        <v>0</v>
      </c>
      <c r="G67" s="45"/>
      <c r="H67" s="1"/>
      <c r="I67" s="28"/>
      <c r="J67" s="4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customFormat="1" ht="15.75" customHeight="1" x14ac:dyDescent="0.3">
      <c r="A68" s="1"/>
      <c r="B68" s="34"/>
      <c r="C68" s="46" t="s">
        <v>426</v>
      </c>
      <c r="D68" s="36">
        <f>COUNTIFS('Client Level Data'!C:C,"Adults Only",'Client Level Data'!E:E,$C68,'Client Level Data'!F:F,"Yes")</f>
        <v>0</v>
      </c>
      <c r="E68" s="45"/>
      <c r="F68" s="36">
        <f>COUNTIFS('Client Level Data'!C:C,"Adults &amp; Children",'Client Level Data'!E:E,$C68,'Client Level Data'!F:F,"Yes")</f>
        <v>0</v>
      </c>
      <c r="G68" s="45"/>
      <c r="H68" s="1"/>
      <c r="I68" s="28"/>
      <c r="J68" s="4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customFormat="1" ht="15.75" customHeight="1" x14ac:dyDescent="0.3">
      <c r="A69" s="1"/>
      <c r="B69" s="34"/>
      <c r="C69" s="42" t="s">
        <v>61</v>
      </c>
      <c r="D69" s="36">
        <f>COUNTIFS('Client Level Data'!C:C,"Adults Only",'Client Level Data'!E:E,$C69,'Client Level Data'!F:F,"Yes")</f>
        <v>0</v>
      </c>
      <c r="E69" s="30" t="str">
        <f>IF(SUM(D54:D69)=D52,LEFT(E54,1),RIGHT(E54,1))</f>
        <v>a</v>
      </c>
      <c r="F69" s="36">
        <f>COUNTIFS('Client Level Data'!C:C,"Adults &amp; Children",'Client Level Data'!E:E,$C69,'Client Level Data'!F:F,"Yes")</f>
        <v>0</v>
      </c>
      <c r="G69" s="30" t="str">
        <f>IF(SUM(F54:F69)=F52,LEFT(G54,1),RIGHT(G54,1))</f>
        <v>a</v>
      </c>
      <c r="H69" s="1"/>
      <c r="I69" s="28"/>
      <c r="J69" s="4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customFormat="1" ht="15.75" customHeight="1" x14ac:dyDescent="0.3">
      <c r="A70" s="1"/>
      <c r="B70" s="40" t="s">
        <v>70</v>
      </c>
      <c r="C70" s="40"/>
      <c r="D70" s="40"/>
      <c r="E70" s="62"/>
      <c r="F70" s="40"/>
      <c r="G70" s="41"/>
      <c r="H70" s="1"/>
      <c r="I70" s="28"/>
      <c r="J70" s="3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customFormat="1" ht="15.75" customHeight="1" x14ac:dyDescent="0.3">
      <c r="A71" s="1"/>
      <c r="B71" s="34"/>
      <c r="C71" s="42" t="s">
        <v>71</v>
      </c>
      <c r="D71" s="43" t="s">
        <v>54</v>
      </c>
      <c r="E71" s="30"/>
      <c r="F71" s="36">
        <f>ROUNDUP(SUMIFS('Client Level Data'!Q:Q,'Client Level Data'!C:C,"Adults &amp; Children",'Client Level Data'!S:S,"Chronic Flag",'Client Level Data'!W:W,"Vet Flag"),0)</f>
        <v>0</v>
      </c>
      <c r="G71" s="56" t="str">
        <f>IF(F71&lt;=F50,LEFT(G28,1),RIGHT(G28,1))</f>
        <v>a</v>
      </c>
      <c r="H71" s="1"/>
      <c r="I71" s="28"/>
      <c r="J71" s="4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customFormat="1" ht="15.75" customHeight="1" x14ac:dyDescent="0.3">
      <c r="A72" s="1"/>
      <c r="B72" s="34"/>
      <c r="C72" s="42" t="s">
        <v>72</v>
      </c>
      <c r="D72" s="36">
        <f>COUNTIFS('Client Level Data'!C:C,"Adults Only",'Client Level Data'!S:S,"Chronic Flag",'Client Level Data'!W:W,"Vet Flag")</f>
        <v>0</v>
      </c>
      <c r="E72" s="56" t="str">
        <f>IF(D72&lt;=D51,LEFT(E28,1),RIGHT(E28,1))</f>
        <v>a</v>
      </c>
      <c r="F72" s="36">
        <f>COUNTIFS('Client Level Data'!C:C,"Adults &amp; Children",'Client Level Data'!S:S,"Chronic Flag",'Client Level Data'!W:W,"Vet Flag")</f>
        <v>0</v>
      </c>
      <c r="G72" s="56" t="str">
        <f>IF(F72&lt;=F51,LEFT(G28,1),RIGHT(G28,1))</f>
        <v>a</v>
      </c>
      <c r="H72" s="1"/>
      <c r="I72" s="28"/>
      <c r="J72" s="4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customFormat="1" ht="15.75" customHeight="1" x14ac:dyDescent="0.3">
      <c r="A73" s="1"/>
      <c r="B73" s="47"/>
      <c r="C73" s="63"/>
      <c r="D73" s="64"/>
      <c r="E73" s="51"/>
      <c r="F73" s="65"/>
      <c r="G73" s="51"/>
      <c r="H73" s="47"/>
      <c r="I73" s="5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customFormat="1" ht="15.75" customHeight="1" x14ac:dyDescent="0.35">
      <c r="A74" s="1"/>
      <c r="B74" s="218" t="s">
        <v>78</v>
      </c>
      <c r="C74" s="219"/>
      <c r="D74" s="219"/>
      <c r="E74" s="219"/>
      <c r="F74" s="219"/>
      <c r="G74" s="219"/>
      <c r="H74" s="219"/>
      <c r="I74" s="2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customFormat="1" ht="30.75" customHeight="1" x14ac:dyDescent="0.3">
      <c r="A75" s="1"/>
      <c r="B75" s="220" t="s">
        <v>79</v>
      </c>
      <c r="C75" s="221"/>
      <c r="D75" s="66" t="s">
        <v>80</v>
      </c>
      <c r="E75" s="30"/>
      <c r="F75" s="34"/>
      <c r="G75" s="62"/>
      <c r="H75" s="34"/>
      <c r="I75" s="6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customFormat="1" ht="64.5" customHeight="1" x14ac:dyDescent="0.3">
      <c r="A76" s="1"/>
      <c r="B76" s="222"/>
      <c r="C76" s="223"/>
      <c r="D76" s="67" t="s">
        <v>81</v>
      </c>
      <c r="E76" s="62"/>
      <c r="F76" s="34"/>
      <c r="G76" s="62"/>
      <c r="H76" s="34"/>
      <c r="I76" s="6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customFormat="1" ht="15.75" customHeight="1" x14ac:dyDescent="0.3">
      <c r="A77" s="1"/>
      <c r="B77" s="34"/>
      <c r="C77" s="35" t="s">
        <v>50</v>
      </c>
      <c r="D77" s="54">
        <f>ROUNDUP(SUMIFS('Client Level Data'!Q:Q,'Client Level Data'!T:T,"PY Flag"),0)</f>
        <v>0</v>
      </c>
      <c r="E77" s="62"/>
      <c r="F77" s="34"/>
      <c r="G77" s="62"/>
      <c r="H77" s="34"/>
      <c r="I77" s="6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customFormat="1" ht="15.75" customHeight="1" x14ac:dyDescent="0.3">
      <c r="A78" s="1"/>
      <c r="B78" s="39"/>
      <c r="C78" s="35" t="s">
        <v>51</v>
      </c>
      <c r="D78" s="54">
        <f>COUNTIF('Client Level Data'!T:T,"PY Flag")</f>
        <v>0</v>
      </c>
      <c r="E78" s="68" t="str">
        <f>IF(D78&lt;=SUM(F16,H16),LEFT(E28,1),RIGHT(E28,1))</f>
        <v>a</v>
      </c>
      <c r="F78" s="39"/>
      <c r="G78" s="69"/>
      <c r="H78" s="39"/>
      <c r="I78" s="6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customFormat="1" ht="15.75" customHeight="1" x14ac:dyDescent="0.3">
      <c r="A79" s="1"/>
      <c r="B79" s="39"/>
      <c r="C79" s="35" t="s">
        <v>82</v>
      </c>
      <c r="D79" s="54">
        <f>COUNTIF('Client Level Data'!G:G,"Yes")</f>
        <v>0</v>
      </c>
      <c r="E79" s="69"/>
      <c r="F79" s="39"/>
      <c r="G79" s="69"/>
      <c r="H79" s="39"/>
      <c r="I79" s="6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customFormat="1" ht="15.75" customHeight="1" x14ac:dyDescent="0.3">
      <c r="A80" s="1"/>
      <c r="B80" s="39"/>
      <c r="C80" s="35" t="s">
        <v>83</v>
      </c>
      <c r="D80" s="54">
        <f>COUNTIF('Client Level Data'!H:H,"Yes")</f>
        <v>0</v>
      </c>
      <c r="E80" s="56" t="str">
        <f>IF(SUM(D79:D80)=D78,LEFT(E28,1),RIGHT(E28,1))</f>
        <v>a</v>
      </c>
      <c r="F80" s="39"/>
      <c r="G80" s="69"/>
      <c r="H80" s="39"/>
      <c r="I80" s="6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customFormat="1" ht="15.75" customHeight="1" x14ac:dyDescent="0.3">
      <c r="A81" s="1"/>
      <c r="B81" s="1"/>
      <c r="C81" s="42" t="s">
        <v>84</v>
      </c>
      <c r="D81" s="54">
        <f>COUNTIFS('Client Level Data'!G:G,"Yes",'Client Level Data'!D:D,"&lt;18")</f>
        <v>0</v>
      </c>
      <c r="E81" s="69"/>
      <c r="F81" s="39"/>
      <c r="G81" s="69"/>
      <c r="H81" s="39"/>
      <c r="I81" s="6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customFormat="1" ht="15.75" customHeight="1" x14ac:dyDescent="0.3">
      <c r="A82" s="1"/>
      <c r="B82" s="70"/>
      <c r="C82" s="42" t="s">
        <v>85</v>
      </c>
      <c r="D82" s="54">
        <f>COUNTIFS('Client Level Data'!U:U,"PY &lt;18",'Client Level Data'!H:H,"Yes")</f>
        <v>0</v>
      </c>
      <c r="E82" s="69"/>
      <c r="F82" s="39"/>
      <c r="G82" s="69"/>
      <c r="H82" s="39"/>
      <c r="I82" s="6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customFormat="1" ht="15.75" customHeight="1" x14ac:dyDescent="0.3">
      <c r="A83" s="1"/>
      <c r="B83" s="70"/>
      <c r="C83" s="42" t="s">
        <v>86</v>
      </c>
      <c r="D83" s="54">
        <f>COUNTIFS('Client Level Data'!G:G,"Yes",'Client Level Data'!D:D,"&gt;17",'Client Level Data'!D:D,"&lt;25")</f>
        <v>0</v>
      </c>
      <c r="E83" s="69"/>
      <c r="F83" s="39"/>
      <c r="G83" s="69"/>
      <c r="H83" s="39"/>
      <c r="I83" s="6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customFormat="1" ht="15.75" customHeight="1" x14ac:dyDescent="0.3">
      <c r="A84" s="1"/>
      <c r="B84" s="70"/>
      <c r="C84" s="42" t="s">
        <v>87</v>
      </c>
      <c r="D84" s="54">
        <f>COUNTIFS('Client Level Data'!U:U,"PY &gt;17 &lt;25",'Client Level Data'!H:H,"Yes")</f>
        <v>0</v>
      </c>
      <c r="E84" s="69"/>
      <c r="F84" s="39"/>
      <c r="G84" s="69"/>
      <c r="H84" s="39"/>
      <c r="I84" s="6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customFormat="1" ht="15.75" customHeight="1" x14ac:dyDescent="0.3">
      <c r="A85" s="1"/>
      <c r="B85" s="40" t="s">
        <v>88</v>
      </c>
      <c r="C85" s="40"/>
      <c r="D85" s="40"/>
      <c r="E85" s="62"/>
      <c r="F85" s="34"/>
      <c r="G85" s="62"/>
      <c r="H85" s="34"/>
      <c r="I85" s="6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customFormat="1" ht="15.75" customHeight="1" x14ac:dyDescent="0.3">
      <c r="A86" s="1"/>
      <c r="B86" s="34"/>
      <c r="C86" s="46" t="s">
        <v>64</v>
      </c>
      <c r="D86" s="36">
        <f>COUNTIFS('Client Level Data'!G:G,"Yes",'Client Level Data'!E:E,C86)</f>
        <v>0</v>
      </c>
      <c r="E86" s="45" t="s">
        <v>62</v>
      </c>
      <c r="F86" s="34"/>
      <c r="G86" s="62"/>
      <c r="H86" s="34"/>
      <c r="I86" s="6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customFormat="1" ht="15.75" customHeight="1" x14ac:dyDescent="0.3">
      <c r="A87" s="1"/>
      <c r="B87" s="34"/>
      <c r="C87" s="46" t="s">
        <v>418</v>
      </c>
      <c r="D87" s="36">
        <f>COUNTIFS('Client Level Data'!G:G,"Yes",'Client Level Data'!E:E,C87)</f>
        <v>0</v>
      </c>
      <c r="E87" s="45"/>
      <c r="F87" s="34"/>
      <c r="G87" s="62"/>
      <c r="H87" s="34"/>
      <c r="I87" s="6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customFormat="1" ht="15.75" customHeight="1" x14ac:dyDescent="0.3">
      <c r="A88" s="1"/>
      <c r="B88" s="34"/>
      <c r="C88" s="46" t="s">
        <v>65</v>
      </c>
      <c r="D88" s="36">
        <f>COUNTIFS('Client Level Data'!G:G,"Yes",'Client Level Data'!E:E,C88)</f>
        <v>0</v>
      </c>
      <c r="E88" s="45"/>
      <c r="F88" s="34"/>
      <c r="G88" s="62"/>
      <c r="H88" s="34"/>
      <c r="I88" s="6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customFormat="1" ht="15.75" customHeight="1" x14ac:dyDescent="0.3">
      <c r="A89" s="1"/>
      <c r="B89" s="34"/>
      <c r="C89" s="46" t="s">
        <v>419</v>
      </c>
      <c r="D89" s="36">
        <f>COUNTIFS('Client Level Data'!G:G,"Yes",'Client Level Data'!E:E,C89)</f>
        <v>0</v>
      </c>
      <c r="E89" s="45"/>
      <c r="F89" s="34"/>
      <c r="G89" s="62"/>
      <c r="H89" s="34"/>
      <c r="I89" s="6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customFormat="1" ht="15.75" customHeight="1" x14ac:dyDescent="0.3">
      <c r="A90" s="1"/>
      <c r="B90" s="34"/>
      <c r="C90" s="42" t="s">
        <v>66</v>
      </c>
      <c r="D90" s="36">
        <f>COUNTIFS('Client Level Data'!G:G,"Yes",'Client Level Data'!E:E,C90)</f>
        <v>0</v>
      </c>
      <c r="E90" s="68"/>
      <c r="F90" s="34"/>
      <c r="G90" s="62"/>
      <c r="H90" s="34"/>
      <c r="I90" s="6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customFormat="1" ht="15.75" customHeight="1" x14ac:dyDescent="0.3">
      <c r="A91" s="1"/>
      <c r="B91" s="34"/>
      <c r="C91" s="42" t="s">
        <v>420</v>
      </c>
      <c r="D91" s="36">
        <f>COUNTIFS('Client Level Data'!G:G,"Yes",'Client Level Data'!E:E,C91)</f>
        <v>0</v>
      </c>
      <c r="E91" s="62"/>
      <c r="F91" s="34"/>
      <c r="G91" s="62"/>
      <c r="H91" s="34"/>
      <c r="I91" s="6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customFormat="1" ht="15.75" customHeight="1" x14ac:dyDescent="0.3">
      <c r="A92" s="1"/>
      <c r="B92" s="34"/>
      <c r="C92" s="46" t="s">
        <v>421</v>
      </c>
      <c r="D92" s="36">
        <f>COUNTIFS('Client Level Data'!G:G,"Yes",'Client Level Data'!E:E,C92)</f>
        <v>0</v>
      </c>
      <c r="E92" s="62"/>
      <c r="F92" s="34"/>
      <c r="G92" s="62"/>
      <c r="H92" s="34"/>
      <c r="I92" s="6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customFormat="1" ht="15.75" customHeight="1" x14ac:dyDescent="0.3">
      <c r="A93" s="1"/>
      <c r="B93" s="34"/>
      <c r="C93" s="46" t="s">
        <v>67</v>
      </c>
      <c r="D93" s="36">
        <f>COUNTIFS('Client Level Data'!G:G,"Yes",'Client Level Data'!E:E,C93)</f>
        <v>0</v>
      </c>
      <c r="E93" s="62"/>
      <c r="F93" s="34"/>
      <c r="G93" s="62"/>
      <c r="H93" s="34"/>
      <c r="I93" s="6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customFormat="1" ht="15.75" customHeight="1" x14ac:dyDescent="0.3">
      <c r="A94" s="1"/>
      <c r="B94" s="34"/>
      <c r="C94" s="46" t="s">
        <v>422</v>
      </c>
      <c r="D94" s="36">
        <f>COUNTIFS('Client Level Data'!G:G,"Yes",'Client Level Data'!E:E,C94)</f>
        <v>0</v>
      </c>
      <c r="E94" s="62"/>
      <c r="F94" s="34"/>
      <c r="G94" s="62"/>
      <c r="H94" s="34"/>
      <c r="I94" s="6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customFormat="1" ht="15.75" customHeight="1" x14ac:dyDescent="0.3">
      <c r="A95" s="1"/>
      <c r="B95" s="34"/>
      <c r="C95" s="46" t="s">
        <v>68</v>
      </c>
      <c r="D95" s="36">
        <f>COUNTIFS('Client Level Data'!G:G,"Yes",'Client Level Data'!E:E,C95)</f>
        <v>0</v>
      </c>
      <c r="E95" s="45" t="s">
        <v>62</v>
      </c>
      <c r="F95" s="34"/>
      <c r="G95" s="62"/>
      <c r="H95" s="34"/>
      <c r="I95" s="6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customFormat="1" ht="15.75" customHeight="1" x14ac:dyDescent="0.3">
      <c r="A96" s="1"/>
      <c r="B96" s="34"/>
      <c r="C96" s="46" t="s">
        <v>423</v>
      </c>
      <c r="D96" s="36">
        <f>COUNTIFS('Client Level Data'!G:G,"Yes",'Client Level Data'!E:E,C96)</f>
        <v>0</v>
      </c>
      <c r="E96" s="45"/>
      <c r="F96" s="34"/>
      <c r="G96" s="62"/>
      <c r="H96" s="34"/>
      <c r="I96" s="6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customFormat="1" ht="15.75" customHeight="1" x14ac:dyDescent="0.3">
      <c r="A97" s="1"/>
      <c r="B97" s="34"/>
      <c r="C97" s="46" t="s">
        <v>69</v>
      </c>
      <c r="D97" s="36">
        <f>COUNTIFS('Client Level Data'!G:G,"Yes",'Client Level Data'!E:E,C97)</f>
        <v>0</v>
      </c>
      <c r="E97" s="45"/>
      <c r="F97" s="34"/>
      <c r="G97" s="62"/>
      <c r="H97" s="34"/>
      <c r="I97" s="6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customFormat="1" ht="15.75" customHeight="1" x14ac:dyDescent="0.3">
      <c r="A98" s="1"/>
      <c r="B98" s="34"/>
      <c r="C98" s="46" t="s">
        <v>424</v>
      </c>
      <c r="D98" s="36">
        <f>COUNTIFS('Client Level Data'!G:G,"Yes",'Client Level Data'!E:E,C98)</f>
        <v>0</v>
      </c>
      <c r="E98" s="45"/>
      <c r="F98" s="34"/>
      <c r="G98" s="62"/>
      <c r="H98" s="34"/>
      <c r="I98" s="6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customFormat="1" ht="15.75" customHeight="1" x14ac:dyDescent="0.3">
      <c r="A99" s="1"/>
      <c r="B99" s="34"/>
      <c r="C99" s="42" t="s">
        <v>425</v>
      </c>
      <c r="D99" s="36">
        <f>COUNTIFS('Client Level Data'!G:G,"Yes",'Client Level Data'!E:E,C99)</f>
        <v>0</v>
      </c>
      <c r="E99" s="45"/>
      <c r="F99" s="34"/>
      <c r="G99" s="62"/>
      <c r="H99" s="34"/>
      <c r="I99" s="6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customFormat="1" ht="15.75" customHeight="1" x14ac:dyDescent="0.3">
      <c r="A100" s="1"/>
      <c r="B100" s="34"/>
      <c r="C100" s="42" t="s">
        <v>426</v>
      </c>
      <c r="D100" s="36">
        <f>COUNTIFS('Client Level Data'!G:G,"Yes",'Client Level Data'!E:E,C100)</f>
        <v>0</v>
      </c>
      <c r="E100" s="45"/>
      <c r="F100" s="34"/>
      <c r="G100" s="62"/>
      <c r="H100" s="34"/>
      <c r="I100" s="6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customFormat="1" ht="15.75" customHeight="1" x14ac:dyDescent="0.3">
      <c r="A101" s="1"/>
      <c r="B101" s="34"/>
      <c r="C101" s="42" t="s">
        <v>61</v>
      </c>
      <c r="D101" s="36">
        <f>COUNTIFS('Client Level Data'!G:G,"Yes",'Client Level Data'!E:E,C101)</f>
        <v>0</v>
      </c>
      <c r="E101" s="68" t="str">
        <f>IF(SUM(D86:D101)=D79,LEFT(E95,1),RIGHT(E95,1))</f>
        <v>a</v>
      </c>
      <c r="F101" s="34"/>
      <c r="G101" s="62"/>
      <c r="H101" s="34"/>
      <c r="I101" s="6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customFormat="1" ht="15.75" customHeight="1" x14ac:dyDescent="0.3">
      <c r="A102" s="1"/>
      <c r="B102" s="224" t="s">
        <v>70</v>
      </c>
      <c r="C102" s="219"/>
      <c r="D102" s="219"/>
      <c r="E102" s="62"/>
      <c r="F102" s="34"/>
      <c r="G102" s="62"/>
      <c r="H102" s="34"/>
      <c r="I102" s="6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customFormat="1" ht="15.75" customHeight="1" x14ac:dyDescent="0.3">
      <c r="A103" s="1"/>
      <c r="B103" s="34"/>
      <c r="C103" s="42" t="s">
        <v>71</v>
      </c>
      <c r="D103" s="36">
        <f>ROUNDUP(SUMIFS('Client Level Data'!Q:Q,'Client Level Data'!J:J,"Yes",'Client Level Data'!G:G,"Yes"),0)</f>
        <v>0</v>
      </c>
      <c r="E103" s="68" t="str">
        <f>IF(D103&lt;=D77,LEFT(E28,1),RIGHT(E28))</f>
        <v>a</v>
      </c>
      <c r="F103" s="34"/>
      <c r="G103" s="62"/>
      <c r="H103" s="34"/>
      <c r="I103" s="6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customFormat="1" ht="15.75" customHeight="1" x14ac:dyDescent="0.3">
      <c r="A104" s="1"/>
      <c r="B104" s="34"/>
      <c r="C104" s="42" t="s">
        <v>72</v>
      </c>
      <c r="D104" s="36">
        <f>COUNTIFS('Client Level Data'!S:S,"Chronic Flag",'Client Level Data'!T:T,"PY Flag")</f>
        <v>0</v>
      </c>
      <c r="E104" s="68" t="str">
        <f>IF(D104&lt;=D78,LEFT(E28,1),RIGHT(E28,1))</f>
        <v>a</v>
      </c>
      <c r="F104" s="34"/>
      <c r="G104" s="62"/>
      <c r="H104" s="34"/>
      <c r="I104" s="6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customFormat="1" ht="15.75" customHeight="1" x14ac:dyDescent="0.3">
      <c r="A105" s="1"/>
      <c r="B105" s="34"/>
      <c r="C105" s="63"/>
      <c r="D105" s="52"/>
      <c r="E105" s="30"/>
      <c r="F105" s="34"/>
      <c r="G105" s="30"/>
      <c r="H105" s="34"/>
      <c r="I105" s="3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customFormat="1" ht="15.75" customHeight="1" x14ac:dyDescent="0.35">
      <c r="A106" s="1"/>
      <c r="B106" s="218" t="s">
        <v>89</v>
      </c>
      <c r="C106" s="219"/>
      <c r="D106" s="219"/>
      <c r="E106" s="219"/>
      <c r="F106" s="219"/>
      <c r="G106" s="219"/>
      <c r="H106" s="219"/>
      <c r="I106" s="2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customFormat="1" ht="39" customHeight="1" x14ac:dyDescent="0.3">
      <c r="A107" s="1"/>
      <c r="B107" s="220" t="s">
        <v>90</v>
      </c>
      <c r="C107" s="221"/>
      <c r="D107" s="66" t="s">
        <v>91</v>
      </c>
      <c r="E107" s="30"/>
      <c r="F107" s="34"/>
      <c r="G107" s="62"/>
      <c r="H107" s="34"/>
      <c r="I107" s="6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customFormat="1" ht="50.25" customHeight="1" x14ac:dyDescent="0.3">
      <c r="A108" s="1"/>
      <c r="B108" s="222"/>
      <c r="C108" s="223"/>
      <c r="D108" s="67" t="s">
        <v>92</v>
      </c>
      <c r="E108" s="61"/>
      <c r="F108" s="34"/>
      <c r="G108" s="62"/>
      <c r="H108" s="34"/>
      <c r="I108" s="6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customFormat="1" ht="15.75" customHeight="1" x14ac:dyDescent="0.3">
      <c r="A109" s="1"/>
      <c r="B109" s="34"/>
      <c r="C109" s="35" t="s">
        <v>50</v>
      </c>
      <c r="D109" s="54">
        <f>ROUNDUP(SUMIFS('Client Level Data'!Q:Q,'Client Level Data'!I:I,"Yes"),0)</f>
        <v>0</v>
      </c>
      <c r="E109" s="30"/>
      <c r="F109" s="34"/>
      <c r="G109" s="62"/>
      <c r="H109" s="34"/>
      <c r="I109" s="6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customFormat="1" ht="15.75" customHeight="1" x14ac:dyDescent="0.3">
      <c r="A110" s="1"/>
      <c r="B110" s="39"/>
      <c r="C110" s="35" t="s">
        <v>51</v>
      </c>
      <c r="D110" s="54">
        <f>COUNTIF('Client Level Data'!I:I,"Yes")</f>
        <v>0</v>
      </c>
      <c r="E110" s="68" t="str">
        <f>IF(D110&lt;=SUM(D16,F16,H16),LEFT(E28,1),RIGHT(E28,1))</f>
        <v>a</v>
      </c>
      <c r="F110" s="39"/>
      <c r="G110" s="69"/>
      <c r="H110" s="39"/>
      <c r="I110" s="6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customFormat="1" ht="15.75" customHeight="1" x14ac:dyDescent="0.3">
      <c r="A111" s="1"/>
      <c r="B111" s="39"/>
      <c r="C111" s="71" t="s">
        <v>93</v>
      </c>
      <c r="D111" s="54">
        <f>COUNTIFS('Client Level Data'!I:I,"Yes",'Client Level Data'!D:D,"&lt;18")</f>
        <v>0</v>
      </c>
      <c r="E111" s="56"/>
      <c r="F111" s="39"/>
      <c r="G111" s="69"/>
      <c r="H111" s="39"/>
      <c r="I111" s="6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customFormat="1" ht="15.75" customHeight="1" x14ac:dyDescent="0.3">
      <c r="A112" s="1"/>
      <c r="B112" s="39"/>
      <c r="C112" s="72" t="s">
        <v>94</v>
      </c>
      <c r="D112" s="54">
        <f>COUNTIFS('Client Level Data'!I:I,"Yes",'Client Level Data'!D:D,"&gt;17",'Client Level Data'!D:D,"&lt;25")</f>
        <v>0</v>
      </c>
      <c r="E112" s="56" t="str">
        <f>IF(SUM(D111:D112)=D110,LEFT(E28,1),RIGHT(E28,1))</f>
        <v>a</v>
      </c>
      <c r="F112" s="39"/>
      <c r="G112" s="69"/>
      <c r="H112" s="39"/>
      <c r="I112" s="6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customFormat="1" ht="15.75" customHeight="1" x14ac:dyDescent="0.3">
      <c r="A113" s="1"/>
      <c r="B113" s="224" t="s">
        <v>63</v>
      </c>
      <c r="C113" s="219"/>
      <c r="D113" s="219"/>
      <c r="E113" s="62"/>
      <c r="F113" s="34"/>
      <c r="G113" s="62"/>
      <c r="H113" s="34"/>
      <c r="I113" s="6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customFormat="1" ht="15.75" customHeight="1" x14ac:dyDescent="0.3">
      <c r="A114" s="1"/>
      <c r="B114" s="34"/>
      <c r="C114" s="46" t="s">
        <v>64</v>
      </c>
      <c r="D114" s="36">
        <f>COUNTIFS('Client Level Data'!I:I,"Yes",'Client Level Data'!E:E,C114)</f>
        <v>0</v>
      </c>
      <c r="E114" s="45" t="s">
        <v>62</v>
      </c>
      <c r="F114" s="34"/>
      <c r="G114" s="62"/>
      <c r="H114" s="34"/>
      <c r="I114" s="6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customFormat="1" ht="15.75" customHeight="1" x14ac:dyDescent="0.3">
      <c r="A115" s="1"/>
      <c r="B115" s="34"/>
      <c r="C115" s="46" t="s">
        <v>418</v>
      </c>
      <c r="D115" s="36">
        <f>COUNTIFS('Client Level Data'!I:I,"Yes",'Client Level Data'!E:E,C115)</f>
        <v>0</v>
      </c>
      <c r="E115" s="45"/>
      <c r="F115" s="34"/>
      <c r="G115" s="62"/>
      <c r="H115" s="34"/>
      <c r="I115" s="6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customFormat="1" ht="15.75" customHeight="1" x14ac:dyDescent="0.3">
      <c r="A116" s="1"/>
      <c r="B116" s="34"/>
      <c r="C116" s="46" t="s">
        <v>65</v>
      </c>
      <c r="D116" s="36">
        <f>COUNTIFS('Client Level Data'!I:I,"Yes",'Client Level Data'!E:E,C116)</f>
        <v>0</v>
      </c>
      <c r="E116" s="45"/>
      <c r="F116" s="34"/>
      <c r="G116" s="62"/>
      <c r="H116" s="34"/>
      <c r="I116" s="6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customFormat="1" ht="15.75" customHeight="1" x14ac:dyDescent="0.3">
      <c r="A117" s="1"/>
      <c r="B117" s="34"/>
      <c r="C117" s="46" t="s">
        <v>419</v>
      </c>
      <c r="D117" s="36">
        <f>COUNTIFS('Client Level Data'!I:I,"Yes",'Client Level Data'!E:E,C117)</f>
        <v>0</v>
      </c>
      <c r="E117" s="45"/>
      <c r="F117" s="34"/>
      <c r="G117" s="62"/>
      <c r="H117" s="34"/>
      <c r="I117" s="6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customFormat="1" ht="15.75" customHeight="1" x14ac:dyDescent="0.3">
      <c r="A118" s="1"/>
      <c r="B118" s="34"/>
      <c r="C118" s="42" t="s">
        <v>66</v>
      </c>
      <c r="D118" s="36">
        <f>COUNTIFS('Client Level Data'!I:I,"Yes",'Client Level Data'!E:E,C118)</f>
        <v>0</v>
      </c>
      <c r="E118" s="68"/>
      <c r="F118" s="34"/>
      <c r="G118" s="62"/>
      <c r="H118" s="34"/>
      <c r="I118" s="6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customFormat="1" ht="15.75" customHeight="1" x14ac:dyDescent="0.3">
      <c r="A119" s="1"/>
      <c r="B119" s="34"/>
      <c r="C119" s="42" t="s">
        <v>420</v>
      </c>
      <c r="D119" s="36">
        <f>COUNTIFS('Client Level Data'!I:I,"Yes",'Client Level Data'!E:E,C119)</f>
        <v>0</v>
      </c>
      <c r="E119" s="62"/>
      <c r="F119" s="34"/>
      <c r="G119" s="62"/>
      <c r="H119" s="34"/>
      <c r="I119" s="6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customFormat="1" ht="15.75" customHeight="1" x14ac:dyDescent="0.3">
      <c r="A120" s="1"/>
      <c r="B120" s="34"/>
      <c r="C120" s="46" t="s">
        <v>421</v>
      </c>
      <c r="D120" s="36">
        <f>COUNTIFS('Client Level Data'!I:I,"Yes",'Client Level Data'!E:E,C120)</f>
        <v>0</v>
      </c>
      <c r="E120" s="62"/>
      <c r="F120" s="34"/>
      <c r="G120" s="62"/>
      <c r="H120" s="34"/>
      <c r="I120" s="6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customFormat="1" ht="15.75" customHeight="1" x14ac:dyDescent="0.3">
      <c r="A121" s="1"/>
      <c r="B121" s="34"/>
      <c r="C121" s="46" t="s">
        <v>67</v>
      </c>
      <c r="D121" s="36">
        <f>COUNTIFS('Client Level Data'!I:I,"Yes",'Client Level Data'!E:E,C121)</f>
        <v>0</v>
      </c>
      <c r="E121" s="62"/>
      <c r="F121" s="34"/>
      <c r="G121" s="62"/>
      <c r="H121" s="34"/>
      <c r="I121" s="6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customFormat="1" ht="15.75" customHeight="1" x14ac:dyDescent="0.3">
      <c r="A122" s="1"/>
      <c r="B122" s="34"/>
      <c r="C122" s="46" t="s">
        <v>422</v>
      </c>
      <c r="D122" s="36">
        <f>COUNTIFS('Client Level Data'!I:I,"Yes",'Client Level Data'!E:E,C122)</f>
        <v>0</v>
      </c>
      <c r="E122" s="45" t="s">
        <v>62</v>
      </c>
      <c r="F122" s="34"/>
      <c r="G122" s="62"/>
      <c r="H122" s="34"/>
      <c r="I122" s="6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customFormat="1" ht="15.75" customHeight="1" x14ac:dyDescent="0.3">
      <c r="A123" s="1"/>
      <c r="B123" s="34"/>
      <c r="C123" s="46" t="s">
        <v>68</v>
      </c>
      <c r="D123" s="36">
        <f>COUNTIFS('Client Level Data'!I:I,"Yes",'Client Level Data'!E:E,C123)</f>
        <v>0</v>
      </c>
      <c r="E123" s="45"/>
      <c r="F123" s="34"/>
      <c r="G123" s="62"/>
      <c r="H123" s="34"/>
      <c r="I123" s="6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customFormat="1" ht="15.75" customHeight="1" x14ac:dyDescent="0.3">
      <c r="A124" s="1"/>
      <c r="B124" s="34"/>
      <c r="C124" s="46" t="s">
        <v>423</v>
      </c>
      <c r="D124" s="36">
        <f>COUNTIFS('Client Level Data'!I:I,"Yes",'Client Level Data'!E:E,C124)</f>
        <v>0</v>
      </c>
      <c r="E124" s="45"/>
      <c r="F124" s="34"/>
      <c r="G124" s="62"/>
      <c r="H124" s="34"/>
      <c r="I124" s="6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customFormat="1" ht="15.75" customHeight="1" x14ac:dyDescent="0.3">
      <c r="A125" s="1"/>
      <c r="B125" s="34"/>
      <c r="C125" s="46" t="s">
        <v>69</v>
      </c>
      <c r="D125" s="36">
        <f>COUNTIFS('Client Level Data'!I:I,"Yes",'Client Level Data'!E:E,C125)</f>
        <v>0</v>
      </c>
      <c r="E125" s="45"/>
      <c r="F125" s="34"/>
      <c r="G125" s="62"/>
      <c r="H125" s="34"/>
      <c r="I125" s="6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customFormat="1" ht="15.75" customHeight="1" x14ac:dyDescent="0.3">
      <c r="A126" s="1"/>
      <c r="B126" s="34"/>
      <c r="C126" s="46" t="s">
        <v>424</v>
      </c>
      <c r="D126" s="36">
        <f>COUNTIFS('Client Level Data'!I:I,"Yes",'Client Level Data'!E:E,C126)</f>
        <v>0</v>
      </c>
      <c r="E126" s="45"/>
      <c r="F126" s="34"/>
      <c r="G126" s="62"/>
      <c r="H126" s="34"/>
      <c r="I126" s="6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customFormat="1" ht="15.75" customHeight="1" x14ac:dyDescent="0.3">
      <c r="A127" s="1"/>
      <c r="B127" s="34"/>
      <c r="C127" s="42" t="s">
        <v>425</v>
      </c>
      <c r="D127" s="36">
        <f>COUNTIFS('Client Level Data'!I:I,"Yes",'Client Level Data'!E:E,C127)</f>
        <v>0</v>
      </c>
      <c r="E127" s="45"/>
      <c r="F127" s="34"/>
      <c r="G127" s="62"/>
      <c r="H127" s="34"/>
      <c r="I127" s="6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customFormat="1" ht="15.75" customHeight="1" x14ac:dyDescent="0.3">
      <c r="A128" s="1"/>
      <c r="B128" s="34"/>
      <c r="C128" s="42" t="s">
        <v>426</v>
      </c>
      <c r="D128" s="36">
        <f>COUNTIFS('Client Level Data'!I:I,"Yes",'Client Level Data'!E:E,C128)</f>
        <v>0</v>
      </c>
      <c r="E128" s="45"/>
      <c r="F128" s="34"/>
      <c r="G128" s="62"/>
      <c r="H128" s="34"/>
      <c r="I128" s="6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customFormat="1" ht="15.75" customHeight="1" x14ac:dyDescent="0.3">
      <c r="A129" s="1"/>
      <c r="B129" s="34"/>
      <c r="C129" s="42" t="s">
        <v>61</v>
      </c>
      <c r="D129" s="36">
        <f>COUNTIFS('Client Level Data'!I:I,"Yes",'Client Level Data'!E:E,C129)</f>
        <v>0</v>
      </c>
      <c r="E129" s="68" t="str">
        <f>IF(SUM(D114:D129)=D110,LEFT(E28,1),RIGHT(E28,1))</f>
        <v>a</v>
      </c>
      <c r="F129" s="34"/>
      <c r="G129" s="62"/>
      <c r="H129" s="34"/>
      <c r="I129" s="6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customFormat="1" ht="15.75" customHeight="1" x14ac:dyDescent="0.3">
      <c r="A130" s="1"/>
      <c r="B130" s="224" t="s">
        <v>70</v>
      </c>
      <c r="C130" s="224"/>
      <c r="D130" s="224"/>
      <c r="E130" s="62"/>
      <c r="F130" s="34"/>
      <c r="G130" s="62"/>
      <c r="H130" s="34"/>
      <c r="I130" s="6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customFormat="1" ht="15.75" customHeight="1" x14ac:dyDescent="0.3">
      <c r="A131" s="1"/>
      <c r="B131" s="34"/>
      <c r="C131" s="42" t="s">
        <v>71</v>
      </c>
      <c r="D131" s="36">
        <f>ROUNDUP(SUMIFS('Client Level Data'!Q:Q,'Client Level Data'!J:J,"Yes",'Client Level Data'!I:I,"Yes"),0)</f>
        <v>0</v>
      </c>
      <c r="E131" s="68" t="str">
        <f>IF(D131&lt;=D109,LEFT(E28,1),RIGHT(E28,1))</f>
        <v>a</v>
      </c>
      <c r="F131" s="34"/>
      <c r="G131" s="62"/>
      <c r="H131" s="34"/>
      <c r="I131" s="6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customFormat="1" ht="15.75" customHeight="1" x14ac:dyDescent="0.3">
      <c r="A132" s="1"/>
      <c r="B132" s="34"/>
      <c r="C132" s="42" t="s">
        <v>72</v>
      </c>
      <c r="D132" s="36">
        <f>COUNTIFS('Client Level Data'!S:S,"Chronic Flag",'Client Level Data'!I:I,"Yes")</f>
        <v>0</v>
      </c>
      <c r="E132" s="68" t="str">
        <f>IF(D132&lt;=D110,LEFT(E28,1),RIGHT(E28,1))</f>
        <v>a</v>
      </c>
      <c r="F132" s="34"/>
      <c r="G132" s="62"/>
      <c r="H132" s="34"/>
      <c r="I132" s="6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customFormat="1" ht="15.75" customHeight="1" x14ac:dyDescent="0.35">
      <c r="A133" s="1"/>
      <c r="B133" s="34"/>
      <c r="C133" s="48"/>
      <c r="D133" s="48"/>
      <c r="E133" s="73"/>
      <c r="F133" s="52"/>
      <c r="G133" s="30"/>
      <c r="H133" s="34"/>
      <c r="I133" s="3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customFormat="1" ht="15.75" customHeight="1" x14ac:dyDescent="0.35">
      <c r="A134" s="1"/>
      <c r="B134" s="226" t="s">
        <v>95</v>
      </c>
      <c r="C134" s="226"/>
      <c r="D134" s="226"/>
      <c r="E134" s="74"/>
      <c r="F134" s="52"/>
      <c r="G134" s="30"/>
      <c r="H134" s="34"/>
      <c r="I134" s="3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customFormat="1" ht="15.75" customHeight="1" x14ac:dyDescent="0.3">
      <c r="A135" s="1"/>
      <c r="B135" s="227" t="s">
        <v>96</v>
      </c>
      <c r="C135" s="228"/>
      <c r="D135" s="75" t="s">
        <v>97</v>
      </c>
      <c r="E135" s="30"/>
      <c r="F135" s="44"/>
      <c r="G135" s="76"/>
      <c r="H135" s="34"/>
      <c r="I135" s="7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customFormat="1" ht="15.75" customHeight="1" x14ac:dyDescent="0.3">
      <c r="A136" s="1"/>
      <c r="B136" s="47"/>
      <c r="C136" s="63"/>
      <c r="D136" s="77">
        <f>SUM(D19:D24,F19:F24)</f>
        <v>0</v>
      </c>
      <c r="E136" s="78"/>
      <c r="F136" s="79"/>
      <c r="G136" s="51"/>
      <c r="H136" s="47"/>
      <c r="I136" s="5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customFormat="1" ht="15.75" customHeight="1" x14ac:dyDescent="0.3">
      <c r="A137" s="1"/>
      <c r="B137" s="47"/>
      <c r="C137" s="71" t="s">
        <v>98</v>
      </c>
      <c r="D137" s="80">
        <f>COUNTIFS('Client Level Data'!D:D,"&gt;17",'Client Level Data'!K:K,"Yes")</f>
        <v>0</v>
      </c>
      <c r="E137" s="68" t="str">
        <f>IF($D$136&gt;=D137,LEFT($E$122,1),RIGHT($E$122,1))</f>
        <v>a</v>
      </c>
      <c r="F137" s="47"/>
      <c r="G137" s="81"/>
      <c r="H137" s="47"/>
      <c r="I137" s="8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customFormat="1" ht="15.75" customHeight="1" x14ac:dyDescent="0.3">
      <c r="A138" s="1"/>
      <c r="B138" s="47"/>
      <c r="C138" s="72" t="s">
        <v>99</v>
      </c>
      <c r="D138" s="80">
        <f>COUNTIFS('Client Level Data'!D:D,"&gt;17",'Client Level Data'!L:L,"Yes")</f>
        <v>0</v>
      </c>
      <c r="E138" s="68" t="str">
        <f>IF($D$136&gt;=D138,LEFT($E$122,1),RIGHT($E$122,1))</f>
        <v>a</v>
      </c>
      <c r="F138" s="79"/>
      <c r="G138" s="51"/>
      <c r="H138" s="47"/>
      <c r="I138" s="5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customFormat="1" ht="15.75" customHeight="1" x14ac:dyDescent="0.3">
      <c r="A139" s="1"/>
      <c r="B139" s="47"/>
      <c r="C139" s="71" t="s">
        <v>100</v>
      </c>
      <c r="D139" s="80">
        <f>COUNTIFS('Client Level Data'!D:D,"&gt;17",'Client Level Data'!M:M,"Yes")</f>
        <v>0</v>
      </c>
      <c r="E139" s="68" t="str">
        <f>IF($D$136&gt;=D139,LEFT($E$122,1),RIGHT($E$122,1))</f>
        <v>a</v>
      </c>
      <c r="F139" s="34"/>
      <c r="G139" s="30"/>
      <c r="H139" s="34"/>
      <c r="I139" s="3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customFormat="1" ht="15.75" customHeight="1" x14ac:dyDescent="0.3">
      <c r="A140" s="1"/>
      <c r="B140" s="47"/>
      <c r="C140" s="72" t="s">
        <v>101</v>
      </c>
      <c r="D140" s="80">
        <f>COUNTIFS('Client Level Data'!D:D,"&gt;17",'Client Level Data'!N:N,"Yes")</f>
        <v>0</v>
      </c>
      <c r="E140" s="68" t="str">
        <f>IF($D$136&gt;=D140,LEFT($E$122,1),RIGHT($E$122,1))</f>
        <v>a</v>
      </c>
      <c r="F140" s="34"/>
      <c r="G140" s="30"/>
      <c r="H140" s="34"/>
      <c r="I140" s="3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customFormat="1" ht="15.75" customHeight="1" x14ac:dyDescent="0.3">
      <c r="A141" s="1"/>
      <c r="B141" s="1"/>
      <c r="C141" s="1"/>
      <c r="D141" s="1"/>
      <c r="E141" s="28"/>
      <c r="F141" s="1"/>
      <c r="G141" s="28"/>
      <c r="H141" s="1"/>
      <c r="I141" s="2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customFormat="1" ht="15.75" customHeight="1" x14ac:dyDescent="0.3">
      <c r="A142" s="1"/>
      <c r="B142" s="1"/>
      <c r="C142" s="1"/>
      <c r="D142" s="1"/>
      <c r="E142" s="28"/>
      <c r="F142" s="1"/>
      <c r="G142" s="28"/>
      <c r="H142" s="1"/>
      <c r="I142" s="2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customFormat="1" ht="15.75" customHeight="1" x14ac:dyDescent="0.35">
      <c r="A143" s="1"/>
      <c r="B143" s="226" t="s">
        <v>102</v>
      </c>
      <c r="C143" s="226"/>
      <c r="D143" s="226"/>
      <c r="E143" s="28"/>
      <c r="F143" s="1"/>
      <c r="G143" s="28"/>
      <c r="H143" s="1"/>
      <c r="I143" s="2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customFormat="1" ht="15.75" customHeight="1" x14ac:dyDescent="0.3">
      <c r="A144" s="1"/>
      <c r="B144" s="82" t="s">
        <v>103</v>
      </c>
      <c r="C144" s="1"/>
      <c r="D144" s="1"/>
      <c r="E144" s="28"/>
      <c r="F144" s="1"/>
      <c r="G144" s="28"/>
      <c r="H144" s="1"/>
      <c r="I144" s="2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customFormat="1" ht="26.25" customHeight="1" x14ac:dyDescent="0.3">
      <c r="A145" s="1"/>
      <c r="B145" s="83" t="s">
        <v>104</v>
      </c>
      <c r="C145" s="1"/>
      <c r="D145" s="84">
        <f>SUM(D16,F16,H16)</f>
        <v>0</v>
      </c>
      <c r="E145" s="28"/>
      <c r="F145" s="1"/>
      <c r="G145" s="28"/>
      <c r="H145" s="1"/>
      <c r="I145" s="2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customFormat="1" ht="15" customHeight="1" x14ac:dyDescent="0.3">
      <c r="A146" s="1"/>
      <c r="B146" s="229" t="s">
        <v>105</v>
      </c>
      <c r="C146" s="230"/>
      <c r="D146" s="231"/>
      <c r="E146" s="28"/>
      <c r="F146" s="1"/>
      <c r="G146" s="28"/>
      <c r="H146" s="1"/>
      <c r="I146" s="2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customFormat="1" ht="15" customHeight="1" x14ac:dyDescent="0.3">
      <c r="A147" s="1"/>
      <c r="B147" s="85"/>
      <c r="C147" s="86" t="s">
        <v>106</v>
      </c>
      <c r="D147" s="87" t="s">
        <v>107</v>
      </c>
      <c r="E147" s="28"/>
      <c r="F147" s="1"/>
      <c r="G147" s="28"/>
      <c r="H147" s="1"/>
      <c r="I147" s="2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customFormat="1" ht="15.75" customHeight="1" x14ac:dyDescent="0.3">
      <c r="A148" s="1"/>
      <c r="B148" s="88" t="s">
        <v>108</v>
      </c>
      <c r="C148" s="89" t="str" cm="1">
        <f t="array" ref="C148">IF(INDEX('Client Level Data'!$O$8:$O$207,MATCH(0,COUNTIF($C$147:C147,'Client Level Data'!$O$8:$O$207),0))=0,"",IFERROR(INDEX('Client Level Data'!$O$8:$O$207,MATCH(0,COUNTIF($C$147:C147,'Client Level Data'!$O$8:$O$207),0)),""))</f>
        <v/>
      </c>
      <c r="D148" s="90" t="str">
        <f>IF(LEN(C148)&gt;0,COUNTIF('Client Level Data'!O:O,'PIT Count'!C148),"")</f>
        <v/>
      </c>
      <c r="E148" s="28"/>
      <c r="F148" s="1"/>
      <c r="G148" s="28"/>
      <c r="H148" s="1"/>
      <c r="I148" s="2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customFormat="1" ht="15.75" customHeight="1" x14ac:dyDescent="0.3">
      <c r="A149" s="1"/>
      <c r="B149" s="88" t="s">
        <v>109</v>
      </c>
      <c r="C149" s="89" t="str" cm="1">
        <f t="array" ref="C149">IF(INDEX('Client Level Data'!$O$8:$O$207,MATCH(0,COUNTIF($C$147:C148,'Client Level Data'!$O$8:$O$207),0))=0,"",IFERROR(INDEX('Client Level Data'!$O$8:$O$207,MATCH(0,COUNTIF($C$147:C148,'Client Level Data'!$O$8:$O$207),0)),""))</f>
        <v/>
      </c>
      <c r="D149" s="90" t="str">
        <f>IF(LEN(C149)&gt;0,COUNTIF('Client Level Data'!O:O,'PIT Count'!C149),"")</f>
        <v/>
      </c>
      <c r="E149" s="28"/>
      <c r="F149" s="1"/>
      <c r="G149" s="28"/>
      <c r="H149" s="1"/>
      <c r="I149" s="2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customFormat="1" ht="15.75" customHeight="1" x14ac:dyDescent="0.3">
      <c r="A150" s="1"/>
      <c r="B150" s="88" t="s">
        <v>110</v>
      </c>
      <c r="C150" s="89" t="str">
        <f t="array" ref="C150">IF(INDEX('Client Level Data'!$O$8:$O$207,MATCH(0,COUNTIF($C$147:C149,'Client Level Data'!$O$8:$O$207),0))=0,"",IFERROR(INDEX('Client Level Data'!$O$8:$O$207,MATCH(0,COUNTIF($C$147:C149,'Client Level Data'!$O$8:$O$207),0)),""))</f>
        <v/>
      </c>
      <c r="D150" s="90" t="str">
        <f>IF(LEN(C150)&gt;0,COUNTIF('Client Level Data'!O:O,'PIT Count'!C150),"")</f>
        <v/>
      </c>
      <c r="E150" s="28"/>
      <c r="F150" s="1"/>
      <c r="G150" s="28"/>
      <c r="H150" s="1"/>
      <c r="I150" s="2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customFormat="1" ht="15.75" customHeight="1" x14ac:dyDescent="0.3">
      <c r="A151" s="1"/>
      <c r="B151" s="88" t="s">
        <v>111</v>
      </c>
      <c r="C151" s="89" t="str" cm="1">
        <f t="array" ref="C151">IF(INDEX('Client Level Data'!$O$8:$O$207,MATCH(0,COUNTIF($C$147:C150,'Client Level Data'!$O$8:$O$207),0))=0,"",IFERROR(INDEX('Client Level Data'!$O$8:$O$207,MATCH(0,COUNTIF($C$147:C150,'Client Level Data'!$O$8:$O$207),0)),""))</f>
        <v/>
      </c>
      <c r="D151" s="90" t="str">
        <f>IF(LEN(C151)&gt;0,COUNTIF('Client Level Data'!O:O,'PIT Count'!C151),"")</f>
        <v/>
      </c>
      <c r="E151" s="28"/>
      <c r="F151" s="1"/>
      <c r="G151" s="28"/>
      <c r="H151" s="1"/>
      <c r="I151" s="2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customFormat="1" ht="15.75" customHeight="1" x14ac:dyDescent="0.3">
      <c r="A152" s="1"/>
      <c r="B152" s="88" t="s">
        <v>112</v>
      </c>
      <c r="C152" s="89" t="str">
        <f t="array" ref="C152">IF(INDEX('Client Level Data'!$O$8:$O$207,MATCH(0,COUNTIF($C$147:C151,'Client Level Data'!$O$8:$O$207),0))=0,"",IFERROR(INDEX('Client Level Data'!$O$8:$O$207,MATCH(0,COUNTIF($C$147:C151,'Client Level Data'!$O$8:$O$207),0)),""))</f>
        <v/>
      </c>
      <c r="D152" s="90" t="str">
        <f>IF(LEN(C152)&gt;0,COUNTIF('Client Level Data'!O:O,'PIT Count'!C152),"")</f>
        <v/>
      </c>
      <c r="E152" s="28"/>
      <c r="F152" s="1"/>
      <c r="G152" s="28"/>
      <c r="H152" s="1"/>
      <c r="I152" s="2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customFormat="1" ht="15.75" customHeight="1" x14ac:dyDescent="0.3">
      <c r="A153" s="1"/>
      <c r="B153" s="88" t="s">
        <v>113</v>
      </c>
      <c r="C153" s="89" t="str">
        <f t="array" ref="C153">IF(INDEX('Client Level Data'!$O$8:$O$207,MATCH(0,COUNTIF($C$147:C152,'Client Level Data'!$O$8:$O$207),0))=0,"",IFERROR(INDEX('Client Level Data'!$O$8:$O$207,MATCH(0,COUNTIF($C$147:C152,'Client Level Data'!$O$8:$O$207),0)),""))</f>
        <v/>
      </c>
      <c r="D153" s="90" t="str">
        <f>IF(LEN(C153)&gt;0,COUNTIF('Client Level Data'!O:O,'PIT Count'!C153),"")</f>
        <v/>
      </c>
      <c r="E153" s="28"/>
      <c r="F153" s="1"/>
      <c r="G153" s="28"/>
      <c r="H153" s="1"/>
      <c r="I153" s="2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customFormat="1" ht="15.75" customHeight="1" x14ac:dyDescent="0.3">
      <c r="A154" s="1"/>
      <c r="B154" s="88" t="s">
        <v>114</v>
      </c>
      <c r="C154" s="89" t="str">
        <f t="array" ref="C154">IF(INDEX('Client Level Data'!$O$8:$O$207,MATCH(0,COUNTIF($C$147:C153,'Client Level Data'!$O$8:$O$207),0))=0,"",IFERROR(INDEX('Client Level Data'!$O$8:$O$207,MATCH(0,COUNTIF($C$147:C153,'Client Level Data'!$O$8:$O$207),0)),""))</f>
        <v/>
      </c>
      <c r="D154" s="90" t="str">
        <f>IF(LEN(C154)&gt;0,COUNTIF('Client Level Data'!O:O,'PIT Count'!C154),"")</f>
        <v/>
      </c>
      <c r="E154" s="28"/>
      <c r="F154" s="1"/>
      <c r="G154" s="28"/>
      <c r="H154" s="1"/>
      <c r="I154" s="2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customFormat="1" ht="15.75" customHeight="1" x14ac:dyDescent="0.3">
      <c r="A155" s="1"/>
      <c r="B155" s="88" t="s">
        <v>115</v>
      </c>
      <c r="C155" s="89" t="str">
        <f t="array" ref="C155">IF(INDEX('Client Level Data'!$O$8:$O$207,MATCH(0,COUNTIF($C$147:C154,'Client Level Data'!$O$8:$O$207),0))=0,"",IFERROR(INDEX('Client Level Data'!$O$8:$O$207,MATCH(0,COUNTIF($C$147:C154,'Client Level Data'!$O$8:$O$207),0)),""))</f>
        <v/>
      </c>
      <c r="D155" s="90" t="str">
        <f>IF(LEN(C155)&gt;0,COUNTIF('Client Level Data'!O:O,'PIT Count'!C155),"")</f>
        <v/>
      </c>
      <c r="E155" s="28"/>
      <c r="F155" s="1"/>
      <c r="G155" s="28"/>
      <c r="H155" s="1"/>
      <c r="I155" s="2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customFormat="1" ht="15.75" customHeight="1" x14ac:dyDescent="0.3">
      <c r="A156" s="1"/>
      <c r="B156" s="88" t="s">
        <v>116</v>
      </c>
      <c r="C156" s="89" t="str">
        <f t="array" ref="C156">IF(INDEX('Client Level Data'!$O$8:$O$207,MATCH(0,COUNTIF($C$147:C155,'Client Level Data'!$O$8:$O$207),0))=0,"",IFERROR(INDEX('Client Level Data'!$O$8:$O$207,MATCH(0,COUNTIF($C$147:C155,'Client Level Data'!$O$8:$O$207),0)),""))</f>
        <v/>
      </c>
      <c r="D156" s="90" t="str">
        <f>IF(LEN(C156)&gt;0,COUNTIF('Client Level Data'!O:O,'PIT Count'!C156),"")</f>
        <v/>
      </c>
      <c r="E156" s="28"/>
      <c r="F156" s="1"/>
      <c r="G156" s="28"/>
      <c r="H156" s="1"/>
      <c r="I156" s="2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customFormat="1" ht="15.75" customHeight="1" x14ac:dyDescent="0.3">
      <c r="A157" s="1"/>
      <c r="B157" s="88" t="s">
        <v>117</v>
      </c>
      <c r="C157" s="89" t="str">
        <f t="array" ref="C157">IF(INDEX('Client Level Data'!$O$8:$O$207,MATCH(0,COUNTIF($C$147:C156,'Client Level Data'!$O$8:$O$207),0))=0,"",IFERROR(INDEX('Client Level Data'!$O$8:$O$207,MATCH(0,COUNTIF($C$147:C156,'Client Level Data'!$O$8:$O$207),0)),""))</f>
        <v/>
      </c>
      <c r="D157" s="90" t="str">
        <f>IF(LEN(C157)&gt;0,COUNTIF('Client Level Data'!O:O,'PIT Count'!C157),"")</f>
        <v/>
      </c>
      <c r="E157" s="28" t="str">
        <f>IF(SUM(D148:D157)=D145,"a","r")</f>
        <v>a</v>
      </c>
      <c r="F157" s="1"/>
      <c r="G157" s="28"/>
      <c r="H157" s="1"/>
      <c r="I157" s="2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customFormat="1" ht="15.75" customHeight="1" x14ac:dyDescent="0.3">
      <c r="A158" s="1"/>
      <c r="B158" s="1"/>
      <c r="C158" s="1"/>
      <c r="D158" s="1"/>
      <c r="E158" s="28"/>
      <c r="F158" s="1"/>
      <c r="G158" s="28"/>
      <c r="H158" s="1"/>
      <c r="I158" s="2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customFormat="1" ht="15.75" customHeight="1" x14ac:dyDescent="0.3">
      <c r="A159" s="1"/>
      <c r="B159" s="83" t="s">
        <v>118</v>
      </c>
      <c r="C159" s="1"/>
      <c r="D159" s="84">
        <f>D145</f>
        <v>0</v>
      </c>
      <c r="E159" s="28"/>
      <c r="F159" s="1"/>
      <c r="G159" s="28"/>
      <c r="H159" s="1"/>
      <c r="I159" s="2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customFormat="1" ht="15.75" customHeight="1" x14ac:dyDescent="0.3">
      <c r="A160" s="1"/>
      <c r="B160" s="229" t="s">
        <v>119</v>
      </c>
      <c r="C160" s="230"/>
      <c r="D160" s="231"/>
      <c r="E160" s="28"/>
      <c r="F160" s="1"/>
      <c r="G160" s="28"/>
      <c r="H160" s="1"/>
      <c r="I160" s="2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customFormat="1" ht="15.75" customHeight="1" x14ac:dyDescent="0.3">
      <c r="A161" s="1"/>
      <c r="B161" s="85"/>
      <c r="C161" s="91" t="s">
        <v>106</v>
      </c>
      <c r="D161" s="87" t="s">
        <v>107</v>
      </c>
      <c r="E161" s="28"/>
      <c r="F161" s="1"/>
      <c r="G161" s="28"/>
      <c r="H161" s="1"/>
      <c r="I161" s="2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customFormat="1" ht="15.75" customHeight="1" x14ac:dyDescent="0.3">
      <c r="A162" s="1"/>
      <c r="B162" s="88" t="s">
        <v>108</v>
      </c>
      <c r="C162" s="92" t="str" cm="1">
        <f t="array" ref="C162">IF(INDEX('Client Level Data'!$P$8:$P$207,MATCH(0,COUNTIF($C$161:C161,'Client Level Data'!$P$8:$P$207),0))=0,"",IFERROR(INDEX('Client Level Data'!$P$8:$P$207,MATCH(0,COUNTIF($C$161:C161,'Client Level Data'!$P$8:$P$207),0)),""))</f>
        <v/>
      </c>
      <c r="D162" s="93" t="str">
        <f>IF(LEN(C162)&gt;0,COUNTIF('Client Level Data'!P:P,'PIT Count'!C162),"")</f>
        <v/>
      </c>
      <c r="E162" s="28"/>
      <c r="F162" s="1"/>
      <c r="G162" s="28"/>
      <c r="H162" s="1"/>
      <c r="I162" s="2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customFormat="1" ht="15.75" customHeight="1" x14ac:dyDescent="0.3">
      <c r="A163" s="1"/>
      <c r="B163" s="88" t="s">
        <v>109</v>
      </c>
      <c r="C163" s="92" t="str">
        <f t="array" ref="C163">IF(INDEX('Client Level Data'!$P$8:$P$207,MATCH(0,COUNTIF($C$161:C162,'Client Level Data'!$P$8:$P$207),0))=0,"",IFERROR(INDEX('Client Level Data'!$P$8:$P$207,MATCH(0,COUNTIF($C$161:C162,'Client Level Data'!$P$8:$P$207),0)),""))</f>
        <v/>
      </c>
      <c r="D163" s="93" t="str">
        <f>IF(LEN(C163)&gt;0,COUNTIF('Client Level Data'!P:P,'PIT Count'!C163),"")</f>
        <v/>
      </c>
      <c r="E163" s="28"/>
      <c r="F163" s="1"/>
      <c r="G163" s="28"/>
      <c r="H163" s="1"/>
      <c r="I163" s="2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customFormat="1" ht="15.75" customHeight="1" x14ac:dyDescent="0.3">
      <c r="A164" s="1"/>
      <c r="B164" s="88" t="s">
        <v>110</v>
      </c>
      <c r="C164" s="92" t="str">
        <f t="array" ref="C164">IF(INDEX('Client Level Data'!$P$8:$P$207,MATCH(0,COUNTIF($C$161:C163,'Client Level Data'!$P$8:$P$207),0))=0,"",IFERROR(INDEX('Client Level Data'!$P$8:$P$207,MATCH(0,COUNTIF($C$161:C163,'Client Level Data'!$P$8:$P$207),0)),""))</f>
        <v/>
      </c>
      <c r="D164" s="93" t="str">
        <f>IF(LEN(C164)&gt;0,COUNTIF('Client Level Data'!P:P,'PIT Count'!C164),"")</f>
        <v/>
      </c>
      <c r="E164" s="28"/>
      <c r="F164" s="1"/>
      <c r="G164" s="28"/>
      <c r="H164" s="1"/>
      <c r="I164" s="2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customFormat="1" ht="15.75" customHeight="1" x14ac:dyDescent="0.3">
      <c r="A165" s="1"/>
      <c r="B165" s="88" t="s">
        <v>111</v>
      </c>
      <c r="C165" s="92" t="str">
        <f t="array" ref="C165">IF(INDEX('Client Level Data'!$P$8:$P$207,MATCH(0,COUNTIF($C$161:C164,'Client Level Data'!$P$8:$P$207),0))=0,"",IFERROR(INDEX('Client Level Data'!$P$8:$P$207,MATCH(0,COUNTIF($C$161:C164,'Client Level Data'!$P$8:$P$207),0)),""))</f>
        <v/>
      </c>
      <c r="D165" s="93" t="str">
        <f>IF(LEN(C165)&gt;0,COUNTIF('Client Level Data'!P:P,'PIT Count'!C165),"")</f>
        <v/>
      </c>
      <c r="E165" s="28"/>
      <c r="F165" s="1"/>
      <c r="G165" s="28"/>
      <c r="H165" s="1"/>
      <c r="I165" s="2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customFormat="1" ht="15.75" customHeight="1" x14ac:dyDescent="0.3">
      <c r="A166" s="1"/>
      <c r="B166" s="88" t="s">
        <v>112</v>
      </c>
      <c r="C166" s="92" t="str">
        <f t="array" ref="C166">IF(INDEX('Client Level Data'!$P$8:$P$207,MATCH(0,COUNTIF($C$161:C165,'Client Level Data'!$P$8:$P$207),0))=0,"",IFERROR(INDEX('Client Level Data'!$P$8:$P$207,MATCH(0,COUNTIF($C$161:C165,'Client Level Data'!$P$8:$P$207),0)),""))</f>
        <v/>
      </c>
      <c r="D166" s="93" t="str">
        <f>IF(LEN(C166)&gt;0,COUNTIF('Client Level Data'!P:P,'PIT Count'!C166),"")</f>
        <v/>
      </c>
      <c r="E166" s="28"/>
      <c r="F166" s="1"/>
      <c r="G166" s="28"/>
      <c r="H166" s="1"/>
      <c r="I166" s="2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customFormat="1" ht="15.75" customHeight="1" x14ac:dyDescent="0.3">
      <c r="A167" s="1"/>
      <c r="B167" s="88" t="s">
        <v>113</v>
      </c>
      <c r="C167" s="92" t="str">
        <f t="array" ref="C167">IF(INDEX('Client Level Data'!$P$8:$P$207,MATCH(0,COUNTIF($C$161:C166,'Client Level Data'!$P$8:$P$207),0))=0,"",IFERROR(INDEX('Client Level Data'!$P$8:$P$207,MATCH(0,COUNTIF($C$161:C166,'Client Level Data'!$P$8:$P$207),0)),""))</f>
        <v/>
      </c>
      <c r="D167" s="93" t="str">
        <f>IF(LEN(C167)&gt;0,COUNTIF('Client Level Data'!P:P,'PIT Count'!C167),"")</f>
        <v/>
      </c>
      <c r="E167" s="28"/>
      <c r="F167" s="1"/>
      <c r="G167" s="28"/>
      <c r="H167" s="1"/>
      <c r="I167" s="2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customFormat="1" ht="15.75" customHeight="1" x14ac:dyDescent="0.3">
      <c r="A168" s="1"/>
      <c r="B168" s="88" t="s">
        <v>114</v>
      </c>
      <c r="C168" s="92" t="str">
        <f t="array" ref="C168">IF(INDEX('Client Level Data'!$P$8:$P$207,MATCH(0,COUNTIF($C$161:C167,'Client Level Data'!$P$8:$P$207),0))=0,"",IFERROR(INDEX('Client Level Data'!$P$8:$P$207,MATCH(0,COUNTIF($C$161:C167,'Client Level Data'!$P$8:$P$207),0)),""))</f>
        <v/>
      </c>
      <c r="D168" s="93" t="str">
        <f>IF(LEN(C168)&gt;0,COUNTIF('Client Level Data'!P:P,'PIT Count'!C168),"")</f>
        <v/>
      </c>
      <c r="E168" s="28"/>
      <c r="F168" s="1"/>
      <c r="G168" s="28"/>
      <c r="H168" s="1"/>
      <c r="I168" s="2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customFormat="1" ht="15.75" customHeight="1" x14ac:dyDescent="0.3">
      <c r="A169" s="1"/>
      <c r="B169" s="88" t="s">
        <v>115</v>
      </c>
      <c r="C169" s="92" t="str">
        <f t="array" ref="C169">IF(INDEX('Client Level Data'!$P$8:$P$207,MATCH(0,COUNTIF($C$161:C168,'Client Level Data'!$P$8:$P$207),0))=0,"",IFERROR(INDEX('Client Level Data'!$P$8:$P$207,MATCH(0,COUNTIF($C$161:C168,'Client Level Data'!$P$8:$P$207),0)),""))</f>
        <v/>
      </c>
      <c r="D169" s="93" t="str">
        <f>IF(LEN(C169)&gt;0,COUNTIF('Client Level Data'!P:P,'PIT Count'!C169),"")</f>
        <v/>
      </c>
      <c r="E169" s="28"/>
      <c r="F169" s="1"/>
      <c r="G169" s="28"/>
      <c r="H169" s="1"/>
      <c r="I169" s="2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customFormat="1" ht="15.75" customHeight="1" x14ac:dyDescent="0.3">
      <c r="A170" s="1"/>
      <c r="B170" s="88" t="s">
        <v>116</v>
      </c>
      <c r="C170" s="92" t="str">
        <f t="array" ref="C170">IF(INDEX('Client Level Data'!$P$8:$P$207,MATCH(0,COUNTIF($C$161:C169,'Client Level Data'!$P$8:$P$207),0))=0,"",IFERROR(INDEX('Client Level Data'!$P$8:$P$207,MATCH(0,COUNTIF($C$161:C169,'Client Level Data'!$P$8:$P$207),0)),""))</f>
        <v/>
      </c>
      <c r="D170" s="93" t="str">
        <f>IF(LEN(C170)&gt;0,COUNTIF('Client Level Data'!P:P,'PIT Count'!C170),"")</f>
        <v/>
      </c>
      <c r="E170" s="28"/>
      <c r="F170" s="1"/>
      <c r="G170" s="28"/>
      <c r="H170" s="1"/>
      <c r="I170" s="2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customFormat="1" ht="15.75" customHeight="1" x14ac:dyDescent="0.3">
      <c r="A171" s="1"/>
      <c r="B171" s="88" t="s">
        <v>117</v>
      </c>
      <c r="C171" s="92" t="str">
        <f t="array" ref="C171">IF(INDEX('Client Level Data'!$P$8:$P$207,MATCH(0,COUNTIF($C$161:C170,'Client Level Data'!$P$8:$P$207),0))=0,"",IFERROR(INDEX('Client Level Data'!$P$8:$P$207,MATCH(0,COUNTIF($C$161:C170,'Client Level Data'!$P$8:$P$207),0)),""))</f>
        <v/>
      </c>
      <c r="D171" s="93" t="str">
        <f>IF(LEN(C171)&gt;0,COUNTIF('Client Level Data'!P:P,'PIT Count'!C171),"")</f>
        <v/>
      </c>
      <c r="E171" s="28"/>
      <c r="F171" s="1"/>
      <c r="G171" s="28"/>
      <c r="H171" s="1"/>
      <c r="I171" s="2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customFormat="1" ht="15.75" customHeight="1" x14ac:dyDescent="0.3">
      <c r="A172" s="1"/>
      <c r="B172" s="88" t="s">
        <v>120</v>
      </c>
      <c r="C172" s="92" t="str">
        <f t="array" ref="C172">IF(INDEX('Client Level Data'!$P$8:$P$207,MATCH(0,COUNTIF($C$161:C171,'Client Level Data'!$P$8:$P$207),0))=0,"",IFERROR(INDEX('Client Level Data'!$P$8:$P$207,MATCH(0,COUNTIF($C$161:C171,'Client Level Data'!$P$8:$P$207),0)),""))</f>
        <v/>
      </c>
      <c r="D172" s="93" t="str">
        <f>IF(LEN(C172)&gt;0,COUNTIF('Client Level Data'!P:P,'PIT Count'!C172),"")</f>
        <v/>
      </c>
      <c r="E172" s="28"/>
      <c r="F172" s="1"/>
      <c r="G172" s="28"/>
      <c r="H172" s="1"/>
      <c r="I172" s="2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customFormat="1" ht="15.75" customHeight="1" x14ac:dyDescent="0.3">
      <c r="A173" s="1"/>
      <c r="B173" s="88" t="s">
        <v>121</v>
      </c>
      <c r="C173" s="92" t="str">
        <f t="array" ref="C173">IF(INDEX('Client Level Data'!$P$8:$P$207,MATCH(0,COUNTIF($C$161:C172,'Client Level Data'!$P$8:$P$207),0))=0,"",IFERROR(INDEX('Client Level Data'!$P$8:$P$207,MATCH(0,COUNTIF($C$161:C172,'Client Level Data'!$P$8:$P$207),0)),""))</f>
        <v/>
      </c>
      <c r="D173" s="93" t="str">
        <f>IF(LEN(C173)&gt;0,COUNTIF('Client Level Data'!P:P,'PIT Count'!C173),"")</f>
        <v/>
      </c>
      <c r="E173" s="28"/>
      <c r="F173" s="1"/>
      <c r="G173" s="28"/>
      <c r="H173" s="1"/>
      <c r="I173" s="2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customFormat="1" ht="15.75" customHeight="1" x14ac:dyDescent="0.3">
      <c r="A174" s="1"/>
      <c r="B174" s="88" t="s">
        <v>122</v>
      </c>
      <c r="C174" s="92" t="str">
        <f t="array" ref="C174">IF(INDEX('Client Level Data'!$P$8:$P$207,MATCH(0,COUNTIF($C$161:C173,'Client Level Data'!$P$8:$P$207),0))=0,"",IFERROR(INDEX('Client Level Data'!$P$8:$P$207,MATCH(0,COUNTIF($C$161:C173,'Client Level Data'!$P$8:$P$207),0)),""))</f>
        <v/>
      </c>
      <c r="D174" s="93" t="str">
        <f>IF(LEN(C174)&gt;0,COUNTIF('Client Level Data'!P:P,'PIT Count'!C174),"")</f>
        <v/>
      </c>
      <c r="E174" s="28"/>
      <c r="F174" s="1"/>
      <c r="G174" s="28"/>
      <c r="H174" s="1"/>
      <c r="I174" s="2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customFormat="1" ht="15.75" customHeight="1" x14ac:dyDescent="0.3">
      <c r="A175" s="1"/>
      <c r="B175" s="88" t="s">
        <v>123</v>
      </c>
      <c r="C175" s="92" t="str">
        <f t="array" ref="C175">IF(INDEX('Client Level Data'!$P$8:$P$207,MATCH(0,COUNTIF($C$161:C174,'Client Level Data'!$P$8:$P$207),0))=0,"",IFERROR(INDEX('Client Level Data'!$P$8:$P$207,MATCH(0,COUNTIF($C$161:C174,'Client Level Data'!$P$8:$P$207),0)),""))</f>
        <v/>
      </c>
      <c r="D175" s="93" t="str">
        <f>IF(LEN(C175)&gt;0,COUNTIF('Client Level Data'!P:P,'PIT Count'!C175),"")</f>
        <v/>
      </c>
      <c r="E175" s="28"/>
      <c r="F175" s="1"/>
      <c r="G175" s="28"/>
      <c r="H175" s="1"/>
      <c r="I175" s="2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customFormat="1" ht="15.75" customHeight="1" x14ac:dyDescent="0.3">
      <c r="A176" s="1"/>
      <c r="B176" s="88" t="s">
        <v>124</v>
      </c>
      <c r="C176" s="92" t="str">
        <f t="array" ref="C176">IF(INDEX('Client Level Data'!$P$8:$P$207,MATCH(0,COUNTIF($C$161:C175,'Client Level Data'!$P$8:$P$207),0))=0,"",IFERROR(INDEX('Client Level Data'!$P$8:$P$207,MATCH(0,COUNTIF($C$161:C175,'Client Level Data'!$P$8:$P$207),0)),""))</f>
        <v/>
      </c>
      <c r="D176" s="93" t="str">
        <f>IF(LEN(C176)&gt;0,COUNTIF('Client Level Data'!P:P,'PIT Count'!C176),"")</f>
        <v/>
      </c>
      <c r="E176" s="28"/>
      <c r="F176" s="1"/>
      <c r="G176" s="28"/>
      <c r="H176" s="1"/>
      <c r="I176" s="2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customFormat="1" ht="15.75" customHeight="1" x14ac:dyDescent="0.3">
      <c r="A177" s="1"/>
      <c r="B177" s="88" t="s">
        <v>125</v>
      </c>
      <c r="C177" s="92" t="str">
        <f t="array" ref="C177">IF(INDEX('Client Level Data'!$P$8:$P$207,MATCH(0,COUNTIF($C$161:C176,'Client Level Data'!$P$8:$P$207),0))=0,"",IFERROR(INDEX('Client Level Data'!$P$8:$P$207,MATCH(0,COUNTIF($C$161:C176,'Client Level Data'!$P$8:$P$207),0)),""))</f>
        <v/>
      </c>
      <c r="D177" s="93" t="str">
        <f>IF(LEN(C177)&gt;0,COUNTIF('Client Level Data'!P:P,'PIT Count'!C177),"")</f>
        <v/>
      </c>
      <c r="E177" s="28"/>
      <c r="F177" s="1"/>
      <c r="G177" s="28"/>
      <c r="H177" s="1"/>
      <c r="I177" s="2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customFormat="1" ht="15.75" customHeight="1" x14ac:dyDescent="0.3">
      <c r="A178" s="1"/>
      <c r="B178" s="88" t="s">
        <v>126</v>
      </c>
      <c r="C178" s="92" t="str">
        <f t="array" ref="C178">IF(INDEX('Client Level Data'!$P$8:$P$207,MATCH(0,COUNTIF($C$161:C177,'Client Level Data'!$P$8:$P$207),0))=0,"",IFERROR(INDEX('Client Level Data'!$P$8:$P$207,MATCH(0,COUNTIF($C$161:C177,'Client Level Data'!$P$8:$P$207),0)),""))</f>
        <v/>
      </c>
      <c r="D178" s="93" t="str">
        <f>IF(LEN(C178)&gt;0,COUNTIF('Client Level Data'!P:P,'PIT Count'!C178),"")</f>
        <v/>
      </c>
      <c r="E178" s="28"/>
      <c r="F178" s="1"/>
      <c r="G178" s="28"/>
      <c r="H178" s="1"/>
      <c r="I178" s="2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customFormat="1" ht="15.75" customHeight="1" x14ac:dyDescent="0.3">
      <c r="A179" s="1"/>
      <c r="B179" s="88" t="s">
        <v>127</v>
      </c>
      <c r="C179" s="92" t="str">
        <f t="array" ref="C179">IF(INDEX('Client Level Data'!$P$8:$P$207,MATCH(0,COUNTIF($C$161:C178,'Client Level Data'!$P$8:$P$207),0))=0,"",IFERROR(INDEX('Client Level Data'!$P$8:$P$207,MATCH(0,COUNTIF($C$161:C178,'Client Level Data'!$P$8:$P$207),0)),""))</f>
        <v/>
      </c>
      <c r="D179" s="93" t="str">
        <f>IF(LEN(C179)&gt;0,COUNTIF('Client Level Data'!P:P,'PIT Count'!C179),"")</f>
        <v/>
      </c>
      <c r="E179" s="28"/>
      <c r="F179" s="1"/>
      <c r="G179" s="28"/>
      <c r="H179" s="1"/>
      <c r="I179" s="2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customFormat="1" ht="15.75" customHeight="1" x14ac:dyDescent="0.3">
      <c r="A180" s="1"/>
      <c r="B180" s="88" t="s">
        <v>128</v>
      </c>
      <c r="C180" s="92" t="str">
        <f t="array" ref="C180">IF(INDEX('Client Level Data'!$P$8:$P$207,MATCH(0,COUNTIF($C$161:C179,'Client Level Data'!$P$8:$P$207),0))=0,"",IFERROR(INDEX('Client Level Data'!$P$8:$P$207,MATCH(0,COUNTIF($C$161:C179,'Client Level Data'!$P$8:$P$207),0)),""))</f>
        <v/>
      </c>
      <c r="D180" s="93" t="str">
        <f>IF(LEN(C180)&gt;0,COUNTIF('Client Level Data'!P:P,'PIT Count'!C180),"")</f>
        <v/>
      </c>
      <c r="E180" s="28"/>
      <c r="F180" s="1"/>
      <c r="G180" s="28"/>
      <c r="H180" s="1"/>
      <c r="I180" s="2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customFormat="1" ht="15.75" customHeight="1" x14ac:dyDescent="0.3">
      <c r="A181" s="1"/>
      <c r="B181" s="88" t="s">
        <v>129</v>
      </c>
      <c r="C181" s="92" t="str">
        <f t="array" ref="C181">IF(INDEX('Client Level Data'!$P$8:$P$207,MATCH(0,COUNTIF($C$161:C180,'Client Level Data'!$P$8:$P$207),0))=0,"",IFERROR(INDEX('Client Level Data'!$P$8:$P$207,MATCH(0,COUNTIF($C$161:C180,'Client Level Data'!$P$8:$P$207),0)),""))</f>
        <v/>
      </c>
      <c r="D181" s="93" t="str">
        <f>IF(LEN(C181)&gt;0,COUNTIF('Client Level Data'!P:P,'PIT Count'!C181),"")</f>
        <v/>
      </c>
      <c r="E181" s="28" t="str">
        <f>IF(SUM(D162:D181)=D159,"a","r")</f>
        <v>a</v>
      </c>
      <c r="F181" s="1"/>
      <c r="G181" s="28"/>
      <c r="H181" s="1"/>
      <c r="I181" s="2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customFormat="1" ht="15" customHeight="1" x14ac:dyDescent="0.3">
      <c r="A182" s="1"/>
      <c r="B182" s="1"/>
      <c r="C182" s="1"/>
      <c r="D182" s="1"/>
      <c r="E182" s="28"/>
      <c r="F182" s="1"/>
      <c r="G182" s="28"/>
      <c r="H182" s="1"/>
      <c r="I182" s="2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customFormat="1" ht="15.75" customHeight="1" x14ac:dyDescent="0.35">
      <c r="A183" s="1"/>
      <c r="B183" s="226" t="s">
        <v>130</v>
      </c>
      <c r="C183" s="226"/>
      <c r="D183" s="226"/>
      <c r="E183" s="28"/>
      <c r="F183" s="1"/>
      <c r="G183" s="28"/>
      <c r="H183" s="1"/>
      <c r="I183" s="2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customFormat="1" ht="15.75" customHeight="1" x14ac:dyDescent="0.3">
      <c r="A184" s="1"/>
      <c r="B184" s="82" t="s">
        <v>131</v>
      </c>
      <c r="C184" s="1"/>
      <c r="D184" s="1"/>
      <c r="E184" s="28"/>
      <c r="F184" s="1"/>
      <c r="G184" s="28"/>
      <c r="H184" s="1"/>
      <c r="I184" s="2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customFormat="1" ht="15.75" customHeight="1" x14ac:dyDescent="0.3">
      <c r="A185" s="1"/>
      <c r="B185" s="82"/>
      <c r="C185" s="1"/>
      <c r="D185" s="1"/>
      <c r="E185" s="28"/>
      <c r="F185" s="1"/>
      <c r="G185" s="28"/>
      <c r="H185" s="1"/>
      <c r="I185" s="2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customFormat="1" ht="31.5" customHeight="1" x14ac:dyDescent="0.25">
      <c r="A186" s="1"/>
      <c r="B186" s="227" t="s">
        <v>132</v>
      </c>
      <c r="C186" s="228"/>
      <c r="D186" s="94" t="s">
        <v>45</v>
      </c>
      <c r="E186" s="95"/>
      <c r="F186" s="94" t="s">
        <v>37</v>
      </c>
      <c r="G186" s="95"/>
      <c r="H186" s="94" t="s">
        <v>46</v>
      </c>
      <c r="I186" s="9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customFormat="1" ht="15" customHeight="1" x14ac:dyDescent="0.3">
      <c r="A187" s="1"/>
      <c r="B187" s="225" t="s">
        <v>133</v>
      </c>
      <c r="C187" s="225"/>
      <c r="D187" s="225"/>
      <c r="E187" s="225"/>
      <c r="F187" s="225"/>
      <c r="G187" s="225"/>
      <c r="H187" s="225"/>
      <c r="I187" s="2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customFormat="1" ht="15" customHeight="1" x14ac:dyDescent="0.3">
      <c r="A188" s="1"/>
      <c r="B188" s="34"/>
      <c r="C188" s="46" t="s">
        <v>64</v>
      </c>
      <c r="D188" s="36">
        <f>COUNTIFS('Client Level Data'!C:C,"Adults Only",'Client Level Data'!S:S,"Chronic Flag",'Client Level Data'!E:E,'PIT Count'!C188)</f>
        <v>0</v>
      </c>
      <c r="E188" s="30"/>
      <c r="F188" s="36">
        <f>COUNTIFS('Client Level Data'!C:C,"Adults &amp; Children",'Client Level Data'!S:S,"Chronic Flag",'Client Level Data'!E:E,'PIT Count'!C188)</f>
        <v>0</v>
      </c>
      <c r="G188" s="30"/>
      <c r="H188" s="36">
        <f>COUNTIFS('Client Level Data'!C:C,"Children Only",'Client Level Data'!S:S,"Chronic Flag",'Client Level Data'!E:E,'PIT Count'!C188)</f>
        <v>0</v>
      </c>
      <c r="I188" s="3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customFormat="1" ht="15" customHeight="1" x14ac:dyDescent="0.3">
      <c r="A189" s="1"/>
      <c r="B189" s="1"/>
      <c r="C189" s="46" t="s">
        <v>418</v>
      </c>
      <c r="D189" s="36">
        <f>COUNTIFS('Client Level Data'!C:C,"Adults Only",'Client Level Data'!S:S,"Chronic Flag",'Client Level Data'!E:E,'PIT Count'!C189)</f>
        <v>0</v>
      </c>
      <c r="E189" s="30"/>
      <c r="F189" s="36">
        <f>COUNTIFS('Client Level Data'!C:C,"Adults &amp; Children",'Client Level Data'!S:S,"Chronic Flag",'Client Level Data'!E:E,'PIT Count'!C189)</f>
        <v>0</v>
      </c>
      <c r="G189" s="30"/>
      <c r="H189" s="36">
        <f>COUNTIFS('Client Level Data'!C:C,"Children Only",'Client Level Data'!S:S,"Chronic Flag",'Client Level Data'!E:E,'PIT Count'!C189)</f>
        <v>0</v>
      </c>
      <c r="I189" s="3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customFormat="1" ht="15" customHeight="1" x14ac:dyDescent="0.3">
      <c r="A190" s="1"/>
      <c r="B190" s="34"/>
      <c r="C190" s="46" t="s">
        <v>65</v>
      </c>
      <c r="D190" s="36">
        <f>COUNTIFS('Client Level Data'!C:C,"Adults Only",'Client Level Data'!S:S,"Chronic Flag",'Client Level Data'!E:E,'PIT Count'!C190)</f>
        <v>0</v>
      </c>
      <c r="E190" s="30"/>
      <c r="F190" s="36">
        <f>COUNTIFS('Client Level Data'!C:C,"Adults &amp; Children",'Client Level Data'!S:S,"Chronic Flag",'Client Level Data'!E:E,'PIT Count'!C190)</f>
        <v>0</v>
      </c>
      <c r="G190" s="30"/>
      <c r="H190" s="36">
        <f>COUNTIFS('Client Level Data'!C:C,"Children Only",'Client Level Data'!S:S,"Chronic Flag",'Client Level Data'!E:E,'PIT Count'!C190)</f>
        <v>0</v>
      </c>
      <c r="I190" s="3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customFormat="1" ht="15" customHeight="1" x14ac:dyDescent="0.3">
      <c r="A191" s="1"/>
      <c r="B191" s="1"/>
      <c r="C191" s="46" t="s">
        <v>419</v>
      </c>
      <c r="D191" s="36">
        <f>COUNTIFS('Client Level Data'!C:C,"Adults Only",'Client Level Data'!S:S,"Chronic Flag",'Client Level Data'!E:E,'PIT Count'!C191)</f>
        <v>0</v>
      </c>
      <c r="E191" s="28"/>
      <c r="F191" s="36">
        <f>COUNTIFS('Client Level Data'!C:C,"Adults &amp; Children",'Client Level Data'!S:S,"Chronic Flag",'Client Level Data'!E:E,'PIT Count'!C191)</f>
        <v>0</v>
      </c>
      <c r="G191" s="28"/>
      <c r="H191" s="36">
        <f>COUNTIFS('Client Level Data'!C:C,"Children Only",'Client Level Data'!S:S,"Chronic Flag",'Client Level Data'!E:E,'PIT Count'!C191)</f>
        <v>0</v>
      </c>
      <c r="I191" s="2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customFormat="1" ht="15" customHeight="1" x14ac:dyDescent="0.3">
      <c r="A192" s="1"/>
      <c r="B192" s="1"/>
      <c r="C192" s="46" t="s">
        <v>66</v>
      </c>
      <c r="D192" s="36">
        <f>COUNTIFS('Client Level Data'!C:C,"Adults Only",'Client Level Data'!S:S,"Chronic Flag",'Client Level Data'!E:E,'PIT Count'!C192)</f>
        <v>0</v>
      </c>
      <c r="E192" s="28"/>
      <c r="F192" s="36">
        <f>COUNTIFS('Client Level Data'!C:C,"Adults &amp; Children",'Client Level Data'!S:S,"Chronic Flag",'Client Level Data'!E:E,'PIT Count'!C192)</f>
        <v>0</v>
      </c>
      <c r="G192" s="28"/>
      <c r="H192" s="36">
        <f>COUNTIFS('Client Level Data'!C:C,"Children Only",'Client Level Data'!S:S,"Chronic Flag",'Client Level Data'!E:E,'PIT Count'!C192)</f>
        <v>0</v>
      </c>
      <c r="I192" s="2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customFormat="1" ht="15" customHeight="1" x14ac:dyDescent="0.3">
      <c r="A193" s="1"/>
      <c r="B193" s="1"/>
      <c r="C193" s="46" t="s">
        <v>420</v>
      </c>
      <c r="D193" s="36">
        <f>COUNTIFS('Client Level Data'!C:C,"Adults Only",'Client Level Data'!S:S,"Chronic Flag",'Client Level Data'!E:E,'PIT Count'!C193)</f>
        <v>0</v>
      </c>
      <c r="E193" s="28"/>
      <c r="F193" s="36">
        <f>COUNTIFS('Client Level Data'!C:C,"Adults &amp; Children",'Client Level Data'!S:S,"Chronic Flag",'Client Level Data'!E:E,'PIT Count'!C193)</f>
        <v>0</v>
      </c>
      <c r="G193" s="28"/>
      <c r="H193" s="36">
        <f>COUNTIFS('Client Level Data'!C:C,"Children Only",'Client Level Data'!S:S,"Chronic Flag",'Client Level Data'!E:E,'PIT Count'!C193)</f>
        <v>0</v>
      </c>
      <c r="I193" s="2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customFormat="1" ht="15" customHeight="1" x14ac:dyDescent="0.3">
      <c r="A194" s="1"/>
      <c r="B194" s="1"/>
      <c r="C194" s="46" t="s">
        <v>421</v>
      </c>
      <c r="D194" s="36">
        <f>COUNTIFS('Client Level Data'!C:C,"Adults Only",'Client Level Data'!S:S,"Chronic Flag",'Client Level Data'!E:E,'PIT Count'!C194)</f>
        <v>0</v>
      </c>
      <c r="E194" s="28"/>
      <c r="F194" s="36">
        <f>COUNTIFS('Client Level Data'!C:C,"Adults &amp; Children",'Client Level Data'!S:S,"Chronic Flag",'Client Level Data'!E:E,'PIT Count'!C194)</f>
        <v>0</v>
      </c>
      <c r="G194" s="28"/>
      <c r="H194" s="36">
        <f>COUNTIFS('Client Level Data'!C:C,"Children Only",'Client Level Data'!S:S,"Chronic Flag",'Client Level Data'!E:E,'PIT Count'!C194)</f>
        <v>0</v>
      </c>
      <c r="I194" s="2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customFormat="1" ht="15" customHeight="1" x14ac:dyDescent="0.3">
      <c r="A195" s="1"/>
      <c r="B195" s="1"/>
      <c r="C195" s="46" t="s">
        <v>67</v>
      </c>
      <c r="D195" s="36">
        <f>COUNTIFS('Client Level Data'!C:C,"Adults Only",'Client Level Data'!S:S,"Chronic Flag",'Client Level Data'!E:E,'PIT Count'!C195)</f>
        <v>0</v>
      </c>
      <c r="E195" s="28"/>
      <c r="F195" s="36">
        <f>COUNTIFS('Client Level Data'!C:C,"Adults &amp; Children",'Client Level Data'!S:S,"Chronic Flag",'Client Level Data'!E:E,'PIT Count'!C195)</f>
        <v>0</v>
      </c>
      <c r="G195" s="28"/>
      <c r="H195" s="36">
        <f>COUNTIFS('Client Level Data'!C:C,"Children Only",'Client Level Data'!S:S,"Chronic Flag",'Client Level Data'!E:E,'PIT Count'!C195)</f>
        <v>0</v>
      </c>
      <c r="I195" s="2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customFormat="1" ht="15" customHeight="1" x14ac:dyDescent="0.3">
      <c r="A196" s="1"/>
      <c r="B196" s="96"/>
      <c r="C196" s="46" t="s">
        <v>422</v>
      </c>
      <c r="D196" s="36">
        <f>COUNTIFS('Client Level Data'!C:C,"Adults Only",'Client Level Data'!S:S,"Chronic Flag",'Client Level Data'!E:E,'PIT Count'!C196)</f>
        <v>0</v>
      </c>
      <c r="E196" s="96"/>
      <c r="F196" s="36">
        <f>COUNTIFS('Client Level Data'!C:C,"Adults &amp; Children",'Client Level Data'!S:S,"Chronic Flag",'Client Level Data'!E:E,'PIT Count'!C196)</f>
        <v>0</v>
      </c>
      <c r="G196" s="96"/>
      <c r="H196" s="36">
        <f>COUNTIFS('Client Level Data'!C:C,"Children Only",'Client Level Data'!S:S,"Chronic Flag",'Client Level Data'!E:E,'PIT Count'!C196)</f>
        <v>0</v>
      </c>
      <c r="I196" s="2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customFormat="1" ht="15.75" customHeight="1" x14ac:dyDescent="0.35">
      <c r="A197" s="1"/>
      <c r="B197" s="97"/>
      <c r="C197" s="46" t="s">
        <v>68</v>
      </c>
      <c r="D197" s="36">
        <f>COUNTIFS('Client Level Data'!C:C,"Adults Only",'Client Level Data'!S:S,"Chronic Flag",'Client Level Data'!E:E,'PIT Count'!C197)</f>
        <v>0</v>
      </c>
      <c r="E197" s="98"/>
      <c r="F197" s="36">
        <f>COUNTIFS('Client Level Data'!C:C,"Adults &amp; Children",'Client Level Data'!S:S,"Chronic Flag",'Client Level Data'!E:E,'PIT Count'!C197)</f>
        <v>0</v>
      </c>
      <c r="G197" s="98"/>
      <c r="H197" s="36">
        <f>COUNTIFS('Client Level Data'!C:C,"Children Only",'Client Level Data'!S:S,"Chronic Flag",'Client Level Data'!E:E,'PIT Count'!C197)</f>
        <v>0</v>
      </c>
      <c r="I197" s="9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customFormat="1" ht="15.75" customHeight="1" x14ac:dyDescent="0.3">
      <c r="A198" s="1"/>
      <c r="B198" s="1"/>
      <c r="C198" s="46" t="s">
        <v>423</v>
      </c>
      <c r="D198" s="36">
        <f>COUNTIFS('Client Level Data'!C:C,"Adults Only",'Client Level Data'!S:S,"Chronic Flag",'Client Level Data'!E:E,'PIT Count'!C198)</f>
        <v>0</v>
      </c>
      <c r="E198" s="28"/>
      <c r="F198" s="36">
        <f>COUNTIFS('Client Level Data'!C:C,"Adults &amp; Children",'Client Level Data'!S:S,"Chronic Flag",'Client Level Data'!E:E,'PIT Count'!C198)</f>
        <v>0</v>
      </c>
      <c r="G198" s="28"/>
      <c r="H198" s="36">
        <f>COUNTIFS('Client Level Data'!C:C,"Children Only",'Client Level Data'!S:S,"Chronic Flag",'Client Level Data'!E:E,'PIT Count'!C198)</f>
        <v>0</v>
      </c>
      <c r="I198" s="2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customFormat="1" ht="15.75" customHeight="1" x14ac:dyDescent="0.3">
      <c r="A199" s="1"/>
      <c r="B199" s="1"/>
      <c r="C199" s="46" t="s">
        <v>69</v>
      </c>
      <c r="D199" s="36">
        <f>COUNTIFS('Client Level Data'!C:C,"Adults Only",'Client Level Data'!S:S,"Chronic Flag",'Client Level Data'!E:E,'PIT Count'!C199)</f>
        <v>0</v>
      </c>
      <c r="E199" s="28"/>
      <c r="F199" s="36">
        <f>COUNTIFS('Client Level Data'!C:C,"Adults &amp; Children",'Client Level Data'!S:S,"Chronic Flag",'Client Level Data'!E:E,'PIT Count'!C199)</f>
        <v>0</v>
      </c>
      <c r="G199" s="28"/>
      <c r="H199" s="36">
        <f>COUNTIFS('Client Level Data'!C:C,"Children Only",'Client Level Data'!S:S,"Chronic Flag",'Client Level Data'!E:E,'PIT Count'!C199)</f>
        <v>0</v>
      </c>
      <c r="I199" s="2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customFormat="1" ht="15.75" customHeight="1" x14ac:dyDescent="0.3">
      <c r="A200" s="1"/>
      <c r="B200" s="1"/>
      <c r="C200" s="46" t="s">
        <v>424</v>
      </c>
      <c r="D200" s="36">
        <f>COUNTIFS('Client Level Data'!C:C,"Adults Only",'Client Level Data'!S:S,"Chronic Flag",'Client Level Data'!E:E,'PIT Count'!C200)</f>
        <v>0</v>
      </c>
      <c r="E200" s="28"/>
      <c r="F200" s="36">
        <f>COUNTIFS('Client Level Data'!C:C,"Adults &amp; Children",'Client Level Data'!S:S,"Chronic Flag",'Client Level Data'!E:E,'PIT Count'!C200)</f>
        <v>0</v>
      </c>
      <c r="G200" s="28"/>
      <c r="H200" s="36">
        <f>COUNTIFS('Client Level Data'!C:C,"Children Only",'Client Level Data'!S:S,"Chronic Flag",'Client Level Data'!E:E,'PIT Count'!C200)</f>
        <v>0</v>
      </c>
      <c r="I200" s="2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customFormat="1" ht="15.75" customHeight="1" x14ac:dyDescent="0.3">
      <c r="A201" s="1"/>
      <c r="B201" s="1"/>
      <c r="C201" s="46" t="s">
        <v>425</v>
      </c>
      <c r="D201" s="36">
        <f>COUNTIFS('Client Level Data'!C:C,"Adults Only",'Client Level Data'!S:S,"Chronic Flag",'Client Level Data'!E:E,'PIT Count'!C201)</f>
        <v>0</v>
      </c>
      <c r="E201" s="28"/>
      <c r="F201" s="36">
        <f>COUNTIFS('Client Level Data'!C:C,"Adults &amp; Children",'Client Level Data'!S:S,"Chronic Flag",'Client Level Data'!E:E,'PIT Count'!C201)</f>
        <v>0</v>
      </c>
      <c r="G201" s="28"/>
      <c r="H201" s="36">
        <f>COUNTIFS('Client Level Data'!C:C,"Children Only",'Client Level Data'!S:S,"Chronic Flag",'Client Level Data'!E:E,'PIT Count'!C201)</f>
        <v>0</v>
      </c>
      <c r="I201" s="2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customFormat="1" ht="15.75" customHeight="1" x14ac:dyDescent="0.3">
      <c r="A202" s="1"/>
      <c r="B202" s="1"/>
      <c r="C202" s="46" t="s">
        <v>426</v>
      </c>
      <c r="D202" s="36">
        <f>COUNTIFS('Client Level Data'!C:C,"Adults Only",'Client Level Data'!S:S,"Chronic Flag",'Client Level Data'!E:E,'PIT Count'!C202)</f>
        <v>0</v>
      </c>
      <c r="E202" s="28"/>
      <c r="F202" s="36">
        <f>COUNTIFS('Client Level Data'!C:C,"Adults &amp; Children",'Client Level Data'!S:S,"Chronic Flag",'Client Level Data'!E:E,'PIT Count'!C202)</f>
        <v>0</v>
      </c>
      <c r="G202" s="28"/>
      <c r="H202" s="36">
        <f>COUNTIFS('Client Level Data'!C:C,"Children Only",'Client Level Data'!S:S,"Chronic Flag",'Client Level Data'!E:E,'PIT Count'!C202)</f>
        <v>0</v>
      </c>
      <c r="I202" s="2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customFormat="1" ht="15.75" customHeight="1" x14ac:dyDescent="0.3">
      <c r="A203" s="1"/>
      <c r="B203" s="1"/>
      <c r="C203" s="42" t="s">
        <v>61</v>
      </c>
      <c r="D203" s="36">
        <f>COUNTIFS('Client Level Data'!C:C,"Adults Only",'Client Level Data'!S:S,"Chronic Flag",'Client Level Data'!E:E,'PIT Count'!C203)</f>
        <v>0</v>
      </c>
      <c r="E203" s="28" t="str">
        <f>IF(SUM(D188:D203)=D45,"a","r")</f>
        <v>a</v>
      </c>
      <c r="F203" s="36">
        <f>COUNTIFS('Client Level Data'!C:C,"Adults &amp; Children",'Client Level Data'!S:S,"Chronic Flag",'Client Level Data'!E:E,'PIT Count'!C203)</f>
        <v>0</v>
      </c>
      <c r="G203" s="28" t="str">
        <f>IF(SUM(F188:F203)=F45,"a","r")</f>
        <v>a</v>
      </c>
      <c r="H203" s="36">
        <f>COUNTIFS('Client Level Data'!C:C,"Children Only",'Client Level Data'!S:S,"Chronic Flag",'Client Level Data'!E:E,'PIT Count'!C203)</f>
        <v>0</v>
      </c>
      <c r="I203" s="28" t="str">
        <f>IF(SUM(H188:H203)=H45,"a","r")</f>
        <v>a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5"/>
      <c r="B204" s="15"/>
      <c r="D204" s="15"/>
      <c r="F204" s="15"/>
      <c r="H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3">
      <c r="A205" s="15"/>
      <c r="B205" s="15"/>
      <c r="D205" s="15"/>
      <c r="F205" s="15"/>
      <c r="H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3">
      <c r="A206" s="15"/>
      <c r="B206" s="15"/>
      <c r="D206" s="15"/>
      <c r="F206" s="15"/>
      <c r="H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3">
      <c r="A207" s="15"/>
      <c r="B207" s="15"/>
      <c r="D207" s="15"/>
      <c r="F207" s="15"/>
      <c r="H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3">
      <c r="A208" s="15"/>
      <c r="B208" s="15"/>
      <c r="D208" s="15"/>
      <c r="F208" s="15"/>
      <c r="H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3">
      <c r="A209" s="15"/>
      <c r="B209" s="15"/>
      <c r="D209" s="15"/>
      <c r="F209" s="15"/>
      <c r="H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3">
      <c r="A210" s="15"/>
      <c r="B210" s="15"/>
      <c r="D210" s="15"/>
      <c r="F210" s="15"/>
      <c r="H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3">
      <c r="A211" s="15"/>
      <c r="B211" s="15"/>
      <c r="D211" s="15"/>
      <c r="F211" s="15"/>
      <c r="H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3">
      <c r="A212" s="15"/>
      <c r="B212" s="15"/>
      <c r="D212" s="15"/>
      <c r="F212" s="15"/>
      <c r="H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3">
      <c r="A213" s="15"/>
      <c r="B213" s="15"/>
      <c r="D213" s="15"/>
      <c r="F213" s="15"/>
      <c r="H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3">
      <c r="A214" s="15"/>
      <c r="B214" s="15"/>
      <c r="D214" s="15"/>
      <c r="F214" s="15"/>
      <c r="H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3">
      <c r="A215" s="15"/>
      <c r="B215" s="15"/>
      <c r="D215" s="15"/>
      <c r="F215" s="15"/>
      <c r="H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3">
      <c r="A216" s="15"/>
      <c r="B216" s="15"/>
      <c r="C216" s="15"/>
      <c r="D216" s="15"/>
      <c r="F216" s="15"/>
      <c r="H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3">
      <c r="A217" s="15"/>
      <c r="B217" s="15"/>
      <c r="C217" s="15"/>
      <c r="D217" s="15"/>
      <c r="F217" s="15"/>
      <c r="H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3">
      <c r="A218" s="15"/>
      <c r="B218" s="15"/>
      <c r="C218" s="15"/>
      <c r="D218" s="15"/>
      <c r="F218" s="15"/>
      <c r="H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3">
      <c r="A219" s="15"/>
      <c r="B219" s="15"/>
      <c r="C219" s="15"/>
      <c r="D219" s="15"/>
      <c r="F219" s="15"/>
      <c r="H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3">
      <c r="A220" s="15"/>
      <c r="B220" s="15"/>
      <c r="C220" s="15"/>
      <c r="D220" s="15"/>
      <c r="F220" s="15"/>
      <c r="H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3">
      <c r="A221" s="15"/>
      <c r="B221" s="15"/>
      <c r="C221" s="15"/>
      <c r="D221" s="15"/>
      <c r="F221" s="15"/>
      <c r="H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3">
      <c r="A222" s="15"/>
      <c r="B222" s="15"/>
      <c r="C222" s="15"/>
      <c r="D222" s="15"/>
      <c r="F222" s="15"/>
      <c r="H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3">
      <c r="A223" s="15"/>
      <c r="B223" s="15"/>
      <c r="C223" s="15"/>
      <c r="D223" s="15"/>
      <c r="F223" s="15"/>
      <c r="H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3">
      <c r="A224" s="15"/>
      <c r="B224" s="15"/>
      <c r="C224" s="15"/>
      <c r="D224" s="15"/>
      <c r="F224" s="15"/>
      <c r="H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3">
      <c r="A225" s="15"/>
      <c r="B225" s="15"/>
      <c r="C225" s="15"/>
      <c r="D225" s="15"/>
      <c r="F225" s="15"/>
      <c r="H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3">
      <c r="A226" s="15"/>
      <c r="B226" s="15"/>
      <c r="C226" s="15"/>
      <c r="D226" s="15"/>
      <c r="F226" s="15"/>
      <c r="H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3">
      <c r="A227" s="15"/>
      <c r="B227" s="15"/>
      <c r="C227" s="15"/>
      <c r="D227" s="15"/>
      <c r="F227" s="15"/>
      <c r="H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3">
      <c r="A228" s="15"/>
      <c r="B228" s="15"/>
      <c r="C228" s="15"/>
      <c r="D228" s="15"/>
      <c r="F228" s="15"/>
      <c r="H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3">
      <c r="A229" s="15"/>
      <c r="B229" s="15"/>
      <c r="C229" s="15"/>
      <c r="D229" s="15"/>
      <c r="F229" s="15"/>
      <c r="H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3">
      <c r="A230" s="15"/>
      <c r="B230" s="15"/>
      <c r="C230" s="15"/>
      <c r="D230" s="15"/>
      <c r="F230" s="15"/>
      <c r="H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3">
      <c r="A231" s="15"/>
      <c r="B231" s="15"/>
      <c r="C231" s="15"/>
      <c r="D231" s="15"/>
      <c r="F231" s="15"/>
      <c r="H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3">
      <c r="A232" s="15"/>
      <c r="B232" s="15"/>
      <c r="C232" s="15"/>
      <c r="D232" s="15"/>
      <c r="F232" s="15"/>
      <c r="H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3">
      <c r="A233" s="15"/>
      <c r="B233" s="15"/>
      <c r="C233" s="15"/>
      <c r="D233" s="15"/>
      <c r="F233" s="15"/>
      <c r="H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3">
      <c r="A234" s="15"/>
      <c r="B234" s="15"/>
      <c r="C234" s="15"/>
      <c r="D234" s="15"/>
      <c r="F234" s="15"/>
      <c r="H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3">
      <c r="A235" s="15"/>
      <c r="B235" s="15"/>
      <c r="C235" s="15"/>
      <c r="D235" s="15"/>
      <c r="F235" s="15"/>
      <c r="H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3">
      <c r="A236" s="15"/>
      <c r="B236" s="15"/>
      <c r="C236" s="15"/>
      <c r="D236" s="15"/>
      <c r="F236" s="15"/>
      <c r="H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3">
      <c r="A237" s="15"/>
      <c r="B237" s="15"/>
      <c r="C237" s="15"/>
      <c r="D237" s="15"/>
      <c r="F237" s="15"/>
      <c r="H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3">
      <c r="A238" s="15"/>
      <c r="B238" s="15"/>
      <c r="C238" s="15"/>
      <c r="D238" s="15"/>
      <c r="F238" s="15"/>
      <c r="H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3">
      <c r="A239" s="15"/>
      <c r="B239" s="15"/>
      <c r="C239" s="15"/>
      <c r="D239" s="15"/>
      <c r="F239" s="15"/>
      <c r="H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3">
      <c r="A240" s="15"/>
      <c r="B240" s="15"/>
      <c r="C240" s="15"/>
      <c r="D240" s="15"/>
      <c r="F240" s="15"/>
      <c r="H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3">
      <c r="A241" s="15"/>
      <c r="B241" s="15"/>
      <c r="C241" s="15"/>
      <c r="D241" s="15"/>
      <c r="F241" s="15"/>
      <c r="H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3">
      <c r="A242" s="15"/>
      <c r="B242" s="15"/>
      <c r="C242" s="15"/>
      <c r="D242" s="15"/>
      <c r="F242" s="15"/>
      <c r="H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3">
      <c r="A243" s="15"/>
      <c r="B243" s="15"/>
      <c r="C243" s="15"/>
      <c r="D243" s="15"/>
      <c r="F243" s="15"/>
      <c r="H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3">
      <c r="A244" s="15"/>
      <c r="B244" s="15"/>
      <c r="C244" s="15"/>
      <c r="D244" s="15"/>
      <c r="F244" s="15"/>
      <c r="H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3">
      <c r="A245" s="15"/>
      <c r="B245" s="15"/>
      <c r="C245" s="15"/>
      <c r="D245" s="15"/>
      <c r="F245" s="15"/>
      <c r="H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3">
      <c r="A246" s="15"/>
      <c r="B246" s="15"/>
      <c r="C246" s="15"/>
      <c r="D246" s="15"/>
      <c r="F246" s="15"/>
      <c r="H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3">
      <c r="A247" s="15"/>
      <c r="B247" s="15"/>
      <c r="C247" s="15"/>
      <c r="D247" s="15"/>
      <c r="F247" s="15"/>
      <c r="H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3">
      <c r="A248" s="15"/>
      <c r="B248" s="15"/>
      <c r="C248" s="15"/>
      <c r="D248" s="15"/>
      <c r="F248" s="15"/>
      <c r="H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3">
      <c r="A249" s="15"/>
      <c r="B249" s="15"/>
      <c r="C249" s="15"/>
      <c r="D249" s="15"/>
      <c r="F249" s="15"/>
      <c r="H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3">
      <c r="A250" s="15"/>
      <c r="B250" s="15"/>
      <c r="C250" s="15"/>
      <c r="D250" s="15"/>
      <c r="F250" s="15"/>
      <c r="H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3">
      <c r="A251" s="15"/>
      <c r="B251" s="15"/>
      <c r="C251" s="15"/>
      <c r="D251" s="15"/>
      <c r="F251" s="15"/>
      <c r="H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3">
      <c r="A252" s="15"/>
      <c r="B252" s="15"/>
      <c r="C252" s="15"/>
      <c r="D252" s="15"/>
      <c r="F252" s="15"/>
      <c r="H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3">
      <c r="A253" s="15"/>
      <c r="B253" s="15"/>
      <c r="C253" s="15"/>
      <c r="D253" s="15"/>
      <c r="F253" s="15"/>
      <c r="H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3">
      <c r="A254" s="15"/>
      <c r="B254" s="15"/>
      <c r="C254" s="15"/>
      <c r="D254" s="15"/>
      <c r="F254" s="15"/>
      <c r="H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3">
      <c r="A255" s="15"/>
      <c r="B255" s="15"/>
      <c r="C255" s="15"/>
      <c r="D255" s="15"/>
      <c r="F255" s="15"/>
      <c r="H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3">
      <c r="A256" s="15"/>
      <c r="B256" s="15"/>
      <c r="C256" s="15"/>
      <c r="D256" s="15"/>
      <c r="F256" s="15"/>
      <c r="H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3">
      <c r="A257" s="15"/>
      <c r="B257" s="15"/>
      <c r="C257" s="15"/>
      <c r="D257" s="15"/>
      <c r="F257" s="15"/>
      <c r="H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3">
      <c r="A258" s="15"/>
      <c r="B258" s="15"/>
      <c r="C258" s="15"/>
      <c r="D258" s="15"/>
      <c r="F258" s="15"/>
      <c r="H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3">
      <c r="A259" s="15"/>
      <c r="B259" s="15"/>
      <c r="C259" s="15"/>
      <c r="D259" s="15"/>
      <c r="F259" s="15"/>
      <c r="H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3">
      <c r="A260" s="15"/>
      <c r="B260" s="15"/>
      <c r="C260" s="15"/>
      <c r="D260" s="15"/>
      <c r="F260" s="15"/>
      <c r="H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3">
      <c r="A261" s="15"/>
      <c r="B261" s="15"/>
      <c r="C261" s="15"/>
      <c r="D261" s="15"/>
      <c r="F261" s="15"/>
      <c r="H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3">
      <c r="A262" s="15"/>
      <c r="B262" s="15"/>
      <c r="C262" s="15"/>
      <c r="D262" s="15"/>
      <c r="F262" s="15"/>
      <c r="H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3">
      <c r="A263" s="15"/>
      <c r="B263" s="15"/>
      <c r="C263" s="15"/>
      <c r="D263" s="15"/>
      <c r="F263" s="15"/>
      <c r="H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3">
      <c r="A264" s="15"/>
      <c r="B264" s="15"/>
      <c r="C264" s="15"/>
      <c r="D264" s="15"/>
      <c r="F264" s="15"/>
      <c r="H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3">
      <c r="A265" s="15"/>
      <c r="B265" s="15"/>
      <c r="C265" s="15"/>
      <c r="D265" s="15"/>
      <c r="F265" s="15"/>
      <c r="H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3">
      <c r="A266" s="15"/>
      <c r="B266" s="15"/>
      <c r="C266" s="15"/>
      <c r="D266" s="15"/>
      <c r="F266" s="15"/>
      <c r="H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3">
      <c r="A267" s="15"/>
      <c r="B267" s="15"/>
      <c r="C267" s="15"/>
      <c r="D267" s="15"/>
      <c r="F267" s="15"/>
      <c r="H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3">
      <c r="A268" s="15"/>
      <c r="B268" s="15"/>
      <c r="C268" s="15"/>
      <c r="D268" s="15"/>
      <c r="F268" s="15"/>
      <c r="H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3">
      <c r="A269" s="15"/>
      <c r="B269" s="15"/>
      <c r="C269" s="15"/>
      <c r="D269" s="15"/>
      <c r="F269" s="15"/>
      <c r="H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3">
      <c r="A270" s="15"/>
      <c r="B270" s="15"/>
      <c r="C270" s="15"/>
      <c r="D270" s="15"/>
      <c r="F270" s="15"/>
      <c r="H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3">
      <c r="A271" s="15"/>
      <c r="B271" s="15"/>
      <c r="C271" s="15"/>
      <c r="D271" s="15"/>
      <c r="F271" s="15"/>
      <c r="H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3">
      <c r="A272" s="15"/>
      <c r="B272" s="15"/>
      <c r="C272" s="15"/>
      <c r="D272" s="15"/>
      <c r="F272" s="15"/>
      <c r="H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3">
      <c r="A273" s="15"/>
      <c r="B273" s="15"/>
      <c r="C273" s="15"/>
      <c r="D273" s="15"/>
      <c r="F273" s="15"/>
      <c r="H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3">
      <c r="A274" s="15"/>
      <c r="B274" s="15"/>
      <c r="C274" s="15"/>
      <c r="D274" s="15"/>
      <c r="F274" s="15"/>
      <c r="H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3">
      <c r="A275" s="15"/>
      <c r="B275" s="15"/>
      <c r="C275" s="15"/>
      <c r="D275" s="15"/>
      <c r="F275" s="15"/>
      <c r="H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3">
      <c r="A276" s="15"/>
      <c r="B276" s="15"/>
      <c r="C276" s="15"/>
      <c r="D276" s="15"/>
      <c r="F276" s="15"/>
      <c r="H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3">
      <c r="A277" s="15"/>
      <c r="B277" s="15"/>
      <c r="C277" s="15"/>
      <c r="D277" s="15"/>
      <c r="F277" s="15"/>
      <c r="H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3">
      <c r="A278" s="15"/>
      <c r="B278" s="15"/>
      <c r="C278" s="15"/>
      <c r="D278" s="15"/>
      <c r="F278" s="15"/>
      <c r="H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3">
      <c r="A279" s="15"/>
      <c r="B279" s="15"/>
      <c r="C279" s="15"/>
      <c r="D279" s="15"/>
      <c r="F279" s="15"/>
      <c r="H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3">
      <c r="A280" s="15"/>
      <c r="B280" s="15"/>
      <c r="C280" s="15"/>
      <c r="D280" s="15"/>
      <c r="F280" s="15"/>
      <c r="H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3">
      <c r="A281" s="15"/>
      <c r="B281" s="15"/>
      <c r="C281" s="15"/>
      <c r="D281" s="15"/>
      <c r="F281" s="15"/>
      <c r="H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3">
      <c r="A282" s="15"/>
      <c r="B282" s="15"/>
      <c r="C282" s="15"/>
      <c r="D282" s="15"/>
      <c r="F282" s="15"/>
      <c r="H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3">
      <c r="A283" s="15"/>
      <c r="B283" s="15"/>
      <c r="C283" s="15"/>
      <c r="D283" s="15"/>
      <c r="F283" s="15"/>
      <c r="H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3">
      <c r="A284" s="15"/>
      <c r="B284" s="15"/>
      <c r="C284" s="15"/>
      <c r="D284" s="15"/>
      <c r="F284" s="15"/>
      <c r="H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3">
      <c r="A285" s="15"/>
      <c r="B285" s="15"/>
      <c r="C285" s="15"/>
      <c r="D285" s="15"/>
      <c r="F285" s="15"/>
      <c r="H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3">
      <c r="A286" s="15"/>
      <c r="B286" s="15"/>
      <c r="C286" s="15"/>
      <c r="D286" s="15"/>
      <c r="F286" s="15"/>
      <c r="H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3">
      <c r="A287" s="15"/>
      <c r="B287" s="15"/>
      <c r="C287" s="15"/>
      <c r="D287" s="15"/>
      <c r="F287" s="15"/>
      <c r="H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3">
      <c r="A288" s="15"/>
      <c r="B288" s="15"/>
      <c r="C288" s="15"/>
      <c r="D288" s="15"/>
      <c r="F288" s="15"/>
      <c r="H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3">
      <c r="A289" s="15"/>
      <c r="B289" s="15"/>
      <c r="C289" s="15"/>
      <c r="D289" s="15"/>
      <c r="F289" s="15"/>
      <c r="H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3">
      <c r="A290" s="15"/>
      <c r="B290" s="15"/>
      <c r="C290" s="15"/>
      <c r="D290" s="15"/>
      <c r="F290" s="15"/>
      <c r="H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3">
      <c r="A291" s="15"/>
      <c r="B291" s="15"/>
      <c r="C291" s="15"/>
      <c r="D291" s="15"/>
      <c r="F291" s="15"/>
      <c r="H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3">
      <c r="A292" s="15"/>
      <c r="B292" s="15"/>
      <c r="C292" s="15"/>
      <c r="D292" s="15"/>
      <c r="F292" s="15"/>
      <c r="H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3">
      <c r="A293" s="15"/>
      <c r="B293" s="15"/>
      <c r="C293" s="15"/>
      <c r="D293" s="15"/>
      <c r="F293" s="15"/>
      <c r="H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3">
      <c r="A294" s="15"/>
      <c r="B294" s="15"/>
      <c r="C294" s="15"/>
      <c r="D294" s="15"/>
      <c r="F294" s="15"/>
      <c r="H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3">
      <c r="A295" s="15"/>
      <c r="B295" s="15"/>
      <c r="C295" s="15"/>
      <c r="D295" s="15"/>
      <c r="F295" s="15"/>
      <c r="H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3">
      <c r="A296" s="15"/>
      <c r="B296" s="15"/>
      <c r="C296" s="15"/>
      <c r="D296" s="15"/>
      <c r="F296" s="15"/>
      <c r="H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3">
      <c r="A297" s="15"/>
      <c r="B297" s="15"/>
      <c r="C297" s="15"/>
      <c r="D297" s="15"/>
      <c r="F297" s="15"/>
      <c r="H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3">
      <c r="A298" s="15"/>
      <c r="B298" s="15"/>
      <c r="C298" s="15"/>
      <c r="D298" s="15"/>
      <c r="F298" s="15"/>
      <c r="H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3">
      <c r="A299" s="15"/>
      <c r="B299" s="15"/>
      <c r="C299" s="15"/>
      <c r="D299" s="15"/>
      <c r="F299" s="15"/>
      <c r="H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3">
      <c r="A300" s="15"/>
      <c r="B300" s="15"/>
      <c r="C300" s="15"/>
      <c r="D300" s="15"/>
      <c r="F300" s="15"/>
      <c r="H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3">
      <c r="A301" s="15"/>
      <c r="B301" s="15"/>
      <c r="C301" s="15"/>
      <c r="D301" s="15"/>
      <c r="F301" s="15"/>
      <c r="H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3">
      <c r="A302" s="15"/>
      <c r="B302" s="15"/>
      <c r="C302" s="15"/>
      <c r="D302" s="15"/>
      <c r="F302" s="15"/>
      <c r="H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3">
      <c r="A303" s="15"/>
      <c r="B303" s="15"/>
      <c r="C303" s="15"/>
      <c r="D303" s="15"/>
      <c r="F303" s="15"/>
      <c r="H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3">
      <c r="A304" s="15"/>
      <c r="B304" s="15"/>
      <c r="C304" s="15"/>
      <c r="D304" s="15"/>
      <c r="F304" s="15"/>
      <c r="H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3">
      <c r="A305" s="15"/>
      <c r="B305" s="15"/>
      <c r="C305" s="15"/>
      <c r="D305" s="15"/>
      <c r="F305" s="15"/>
      <c r="H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3">
      <c r="A306" s="15"/>
      <c r="B306" s="15"/>
      <c r="C306" s="15"/>
      <c r="D306" s="15"/>
      <c r="F306" s="15"/>
      <c r="H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3">
      <c r="A307" s="15"/>
      <c r="B307" s="15"/>
      <c r="C307" s="15"/>
      <c r="D307" s="15"/>
      <c r="F307" s="15"/>
      <c r="H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3">
      <c r="A308" s="15"/>
      <c r="B308" s="15"/>
      <c r="C308" s="15"/>
      <c r="D308" s="15"/>
      <c r="F308" s="15"/>
      <c r="H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3">
      <c r="A309" s="15"/>
      <c r="B309" s="15"/>
      <c r="C309" s="15"/>
      <c r="D309" s="15"/>
      <c r="F309" s="15"/>
      <c r="H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3">
      <c r="A310" s="15"/>
      <c r="B310" s="15"/>
      <c r="C310" s="15"/>
      <c r="D310" s="15"/>
      <c r="F310" s="15"/>
      <c r="H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3">
      <c r="A311" s="15"/>
      <c r="B311" s="15"/>
      <c r="C311" s="15"/>
      <c r="D311" s="15"/>
      <c r="F311" s="15"/>
      <c r="H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3">
      <c r="A312" s="15"/>
      <c r="B312" s="15"/>
      <c r="C312" s="15"/>
      <c r="D312" s="15"/>
      <c r="F312" s="15"/>
      <c r="H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3">
      <c r="A313" s="15"/>
      <c r="B313" s="15"/>
      <c r="C313" s="15"/>
      <c r="D313" s="15"/>
      <c r="F313" s="15"/>
      <c r="H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3">
      <c r="A314" s="15"/>
      <c r="B314" s="15"/>
      <c r="C314" s="15"/>
      <c r="D314" s="15"/>
      <c r="F314" s="15"/>
      <c r="H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3">
      <c r="A315" s="15"/>
      <c r="B315" s="15"/>
      <c r="C315" s="15"/>
      <c r="D315" s="15"/>
      <c r="F315" s="15"/>
      <c r="H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3">
      <c r="A316" s="15"/>
      <c r="B316" s="15"/>
      <c r="C316" s="15"/>
      <c r="D316" s="15"/>
      <c r="F316" s="15"/>
      <c r="H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3">
      <c r="A317" s="15"/>
      <c r="B317" s="15"/>
      <c r="C317" s="15"/>
      <c r="D317" s="15"/>
      <c r="F317" s="15"/>
      <c r="H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3">
      <c r="A318" s="15"/>
      <c r="B318" s="15"/>
      <c r="C318" s="15"/>
      <c r="D318" s="15"/>
      <c r="F318" s="15"/>
      <c r="H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3">
      <c r="A319" s="15"/>
      <c r="B319" s="15"/>
      <c r="C319" s="15"/>
      <c r="D319" s="15"/>
      <c r="F319" s="15"/>
      <c r="H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3">
      <c r="A320" s="15"/>
      <c r="B320" s="15"/>
      <c r="C320" s="15"/>
      <c r="D320" s="15"/>
      <c r="F320" s="15"/>
      <c r="H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3">
      <c r="A321" s="15"/>
      <c r="B321" s="15"/>
      <c r="C321" s="15"/>
      <c r="D321" s="15"/>
      <c r="F321" s="15"/>
      <c r="H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3">
      <c r="A322" s="15"/>
      <c r="B322" s="15"/>
      <c r="C322" s="15"/>
      <c r="D322" s="15"/>
      <c r="F322" s="15"/>
      <c r="H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3">
      <c r="A323" s="15"/>
      <c r="B323" s="15"/>
      <c r="C323" s="15"/>
      <c r="D323" s="15"/>
      <c r="F323" s="15"/>
      <c r="H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3">
      <c r="A324" s="15"/>
      <c r="B324" s="15"/>
      <c r="C324" s="15"/>
      <c r="D324" s="15"/>
      <c r="F324" s="15"/>
      <c r="H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3">
      <c r="A325" s="15"/>
      <c r="B325" s="15"/>
      <c r="C325" s="15"/>
      <c r="D325" s="15"/>
      <c r="F325" s="15"/>
      <c r="H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3">
      <c r="A326" s="15"/>
      <c r="B326" s="15"/>
      <c r="C326" s="15"/>
      <c r="D326" s="15"/>
      <c r="F326" s="15"/>
      <c r="H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3">
      <c r="A327" s="15"/>
      <c r="B327" s="15"/>
      <c r="C327" s="15"/>
      <c r="D327" s="15"/>
      <c r="F327" s="15"/>
      <c r="H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3">
      <c r="A328" s="15"/>
      <c r="B328" s="15"/>
      <c r="C328" s="15"/>
      <c r="D328" s="15"/>
      <c r="F328" s="15"/>
      <c r="H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3">
      <c r="A329" s="15"/>
      <c r="B329" s="15"/>
      <c r="C329" s="15"/>
      <c r="D329" s="15"/>
      <c r="F329" s="15"/>
      <c r="H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3">
      <c r="A330" s="15"/>
      <c r="B330" s="15"/>
      <c r="C330" s="15"/>
      <c r="D330" s="15"/>
      <c r="F330" s="15"/>
      <c r="H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3">
      <c r="A331" s="15"/>
      <c r="B331" s="15"/>
      <c r="C331" s="15"/>
      <c r="D331" s="15"/>
      <c r="F331" s="15"/>
      <c r="H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3">
      <c r="A332" s="15"/>
      <c r="B332" s="15"/>
      <c r="C332" s="15"/>
      <c r="D332" s="15"/>
      <c r="F332" s="15"/>
      <c r="H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3">
      <c r="A333" s="15"/>
      <c r="B333" s="15"/>
      <c r="C333" s="15"/>
      <c r="D333" s="15"/>
      <c r="F333" s="15"/>
      <c r="H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3">
      <c r="A334" s="15"/>
      <c r="B334" s="15"/>
      <c r="C334" s="15"/>
      <c r="D334" s="15"/>
      <c r="F334" s="15"/>
      <c r="H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3">
      <c r="A335" s="15"/>
      <c r="B335" s="15"/>
      <c r="C335" s="15"/>
      <c r="D335" s="15"/>
      <c r="F335" s="15"/>
      <c r="H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3">
      <c r="A336" s="15"/>
      <c r="B336" s="15"/>
      <c r="C336" s="15"/>
      <c r="D336" s="15"/>
      <c r="F336" s="15"/>
      <c r="H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3">
      <c r="A337" s="15"/>
      <c r="B337" s="15"/>
      <c r="C337" s="15"/>
      <c r="D337" s="15"/>
      <c r="F337" s="15"/>
      <c r="H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3">
      <c r="A338" s="15"/>
      <c r="B338" s="15"/>
      <c r="C338" s="15"/>
      <c r="D338" s="15"/>
      <c r="F338" s="15"/>
      <c r="H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3">
      <c r="A339" s="15"/>
      <c r="B339" s="15"/>
      <c r="C339" s="15"/>
      <c r="D339" s="15"/>
      <c r="F339" s="15"/>
      <c r="H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3">
      <c r="A340" s="15"/>
      <c r="B340" s="15"/>
      <c r="C340" s="15"/>
      <c r="D340" s="15"/>
      <c r="F340" s="15"/>
      <c r="H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3">
      <c r="A341" s="15"/>
      <c r="B341" s="15"/>
      <c r="C341" s="15"/>
      <c r="D341" s="15"/>
      <c r="F341" s="15"/>
      <c r="H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3">
      <c r="A342" s="15"/>
      <c r="B342" s="15"/>
      <c r="C342" s="15"/>
      <c r="D342" s="15"/>
      <c r="F342" s="15"/>
      <c r="H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3">
      <c r="A343" s="15"/>
      <c r="B343" s="15"/>
      <c r="C343" s="15"/>
      <c r="D343" s="15"/>
      <c r="F343" s="15"/>
      <c r="H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3">
      <c r="A344" s="15"/>
      <c r="B344" s="15"/>
      <c r="C344" s="15"/>
      <c r="D344" s="15"/>
      <c r="F344" s="15"/>
      <c r="H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3">
      <c r="A345" s="15"/>
      <c r="B345" s="15"/>
      <c r="C345" s="15"/>
      <c r="D345" s="15"/>
      <c r="F345" s="15"/>
      <c r="H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3">
      <c r="A346" s="15"/>
      <c r="B346" s="15"/>
      <c r="C346" s="15"/>
      <c r="D346" s="15"/>
      <c r="F346" s="15"/>
      <c r="H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3">
      <c r="A347" s="15"/>
      <c r="B347" s="15"/>
      <c r="C347" s="15"/>
      <c r="D347" s="15"/>
      <c r="F347" s="15"/>
      <c r="H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3">
      <c r="A348" s="15"/>
      <c r="B348" s="15"/>
      <c r="C348" s="15"/>
      <c r="D348" s="15"/>
      <c r="F348" s="15"/>
      <c r="H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3">
      <c r="A349" s="15"/>
      <c r="B349" s="15"/>
      <c r="C349" s="15"/>
      <c r="D349" s="15"/>
      <c r="F349" s="15"/>
      <c r="H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3">
      <c r="A350" s="15"/>
      <c r="B350" s="15"/>
      <c r="C350" s="15"/>
      <c r="D350" s="15"/>
      <c r="F350" s="15"/>
      <c r="H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3">
      <c r="A351" s="15"/>
      <c r="B351" s="15"/>
      <c r="C351" s="15"/>
      <c r="D351" s="15"/>
      <c r="F351" s="15"/>
      <c r="H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3">
      <c r="A352" s="15"/>
      <c r="B352" s="15"/>
      <c r="C352" s="15"/>
      <c r="D352" s="15"/>
      <c r="F352" s="15"/>
      <c r="H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3">
      <c r="A353" s="15"/>
      <c r="B353" s="15"/>
      <c r="C353" s="15"/>
      <c r="D353" s="15"/>
      <c r="F353" s="15"/>
      <c r="H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3">
      <c r="A354" s="15"/>
      <c r="B354" s="15"/>
      <c r="C354" s="15"/>
      <c r="D354" s="15"/>
      <c r="F354" s="15"/>
      <c r="H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3">
      <c r="A355" s="15"/>
      <c r="B355" s="15"/>
      <c r="C355" s="15"/>
      <c r="D355" s="15"/>
      <c r="F355" s="15"/>
      <c r="H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3">
      <c r="A356" s="15"/>
      <c r="B356" s="15"/>
      <c r="C356" s="15"/>
      <c r="D356" s="15"/>
      <c r="F356" s="15"/>
      <c r="H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3">
      <c r="A357" s="15"/>
      <c r="B357" s="15"/>
      <c r="C357" s="15"/>
      <c r="D357" s="15"/>
      <c r="F357" s="15"/>
      <c r="H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3">
      <c r="A358" s="15"/>
      <c r="B358" s="15"/>
      <c r="C358" s="15"/>
      <c r="D358" s="15"/>
      <c r="F358" s="15"/>
      <c r="H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3">
      <c r="A359" s="15"/>
      <c r="B359" s="15"/>
      <c r="C359" s="15"/>
      <c r="D359" s="15"/>
      <c r="F359" s="15"/>
      <c r="H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3">
      <c r="A360" s="15"/>
      <c r="B360" s="15"/>
      <c r="C360" s="15"/>
      <c r="D360" s="15"/>
      <c r="F360" s="15"/>
      <c r="H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3">
      <c r="A361" s="15"/>
      <c r="B361" s="15"/>
      <c r="C361" s="15"/>
      <c r="D361" s="15"/>
      <c r="F361" s="15"/>
      <c r="H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3">
      <c r="A362" s="15"/>
      <c r="B362" s="15"/>
      <c r="C362" s="15"/>
      <c r="D362" s="15"/>
      <c r="F362" s="15"/>
      <c r="H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3">
      <c r="A363" s="15"/>
      <c r="B363" s="15"/>
      <c r="C363" s="15"/>
      <c r="D363" s="15"/>
      <c r="F363" s="15"/>
      <c r="H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3">
      <c r="A364" s="15"/>
      <c r="B364" s="15"/>
      <c r="C364" s="15"/>
      <c r="D364" s="15"/>
      <c r="F364" s="15"/>
      <c r="H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3">
      <c r="A365" s="15"/>
      <c r="B365" s="15"/>
      <c r="C365" s="15"/>
      <c r="D365" s="15"/>
      <c r="F365" s="15"/>
      <c r="H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3">
      <c r="A366" s="15"/>
      <c r="B366" s="15"/>
      <c r="C366" s="15"/>
      <c r="D366" s="15"/>
      <c r="F366" s="15"/>
      <c r="H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3">
      <c r="A367" s="15"/>
      <c r="B367" s="15"/>
      <c r="C367" s="15"/>
      <c r="D367" s="15"/>
      <c r="F367" s="15"/>
      <c r="H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3">
      <c r="A368" s="15"/>
      <c r="B368" s="15"/>
      <c r="C368" s="15"/>
      <c r="D368" s="15"/>
      <c r="F368" s="15"/>
      <c r="H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3">
      <c r="A369" s="15"/>
      <c r="B369" s="15"/>
      <c r="C369" s="15"/>
      <c r="D369" s="15"/>
      <c r="F369" s="15"/>
      <c r="H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3">
      <c r="A370" s="15"/>
      <c r="B370" s="15"/>
      <c r="C370" s="15"/>
      <c r="D370" s="15"/>
      <c r="F370" s="15"/>
      <c r="H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3">
      <c r="A371" s="15"/>
      <c r="B371" s="15"/>
      <c r="C371" s="15"/>
      <c r="D371" s="15"/>
      <c r="F371" s="15"/>
      <c r="H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3">
      <c r="A372" s="15"/>
      <c r="B372" s="15"/>
      <c r="C372" s="15"/>
      <c r="D372" s="15"/>
      <c r="F372" s="15"/>
      <c r="H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3">
      <c r="A373" s="15"/>
      <c r="B373" s="15"/>
      <c r="C373" s="15"/>
      <c r="D373" s="15"/>
      <c r="F373" s="15"/>
      <c r="H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3">
      <c r="A374" s="15"/>
      <c r="B374" s="15"/>
      <c r="C374" s="15"/>
      <c r="D374" s="15"/>
      <c r="F374" s="15"/>
      <c r="H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3">
      <c r="A375" s="15"/>
      <c r="B375" s="15"/>
      <c r="C375" s="15"/>
      <c r="D375" s="15"/>
      <c r="F375" s="15"/>
      <c r="H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3">
      <c r="A376" s="15"/>
      <c r="B376" s="15"/>
      <c r="C376" s="15"/>
      <c r="D376" s="15"/>
      <c r="F376" s="15"/>
      <c r="H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3">
      <c r="A377" s="15"/>
      <c r="B377" s="15"/>
      <c r="C377" s="15"/>
      <c r="D377" s="15"/>
      <c r="F377" s="15"/>
      <c r="H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3">
      <c r="A378" s="15"/>
      <c r="B378" s="15"/>
      <c r="C378" s="15"/>
      <c r="D378" s="15"/>
      <c r="F378" s="15"/>
      <c r="H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3">
      <c r="A379" s="15"/>
      <c r="B379" s="15"/>
      <c r="C379" s="15"/>
      <c r="D379" s="15"/>
      <c r="F379" s="15"/>
      <c r="H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3">
      <c r="A380" s="15"/>
      <c r="B380" s="15"/>
      <c r="C380" s="15"/>
      <c r="D380" s="15"/>
      <c r="F380" s="15"/>
      <c r="H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3">
      <c r="A381" s="15"/>
      <c r="B381" s="15"/>
      <c r="C381" s="15"/>
      <c r="D381" s="15"/>
      <c r="F381" s="15"/>
      <c r="H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3">
      <c r="A382" s="15"/>
      <c r="B382" s="15"/>
      <c r="C382" s="15"/>
      <c r="D382" s="15"/>
      <c r="F382" s="15"/>
      <c r="H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3">
      <c r="A383" s="15"/>
      <c r="B383" s="15"/>
      <c r="C383" s="15"/>
      <c r="D383" s="15"/>
      <c r="F383" s="15"/>
      <c r="H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3">
      <c r="A384" s="15"/>
      <c r="B384" s="15"/>
      <c r="C384" s="15"/>
      <c r="D384" s="15"/>
      <c r="F384" s="15"/>
      <c r="H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3">
      <c r="A385" s="15"/>
      <c r="B385" s="15"/>
      <c r="C385" s="15"/>
      <c r="D385" s="15"/>
      <c r="F385" s="15"/>
      <c r="H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3">
      <c r="A386" s="15"/>
      <c r="B386" s="15"/>
      <c r="C386" s="15"/>
      <c r="D386" s="15"/>
      <c r="F386" s="15"/>
      <c r="H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3">
      <c r="A387" s="15"/>
      <c r="B387" s="15"/>
      <c r="C387" s="15"/>
      <c r="D387" s="15"/>
      <c r="F387" s="15"/>
      <c r="H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3">
      <c r="A388" s="15"/>
      <c r="B388" s="15"/>
      <c r="C388" s="15"/>
      <c r="D388" s="15"/>
      <c r="F388" s="15"/>
      <c r="H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3">
      <c r="A389" s="15"/>
      <c r="B389" s="15"/>
      <c r="C389" s="15"/>
      <c r="D389" s="15"/>
      <c r="F389" s="15"/>
      <c r="H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3">
      <c r="A390" s="15"/>
      <c r="B390" s="15"/>
      <c r="C390" s="15"/>
      <c r="D390" s="15"/>
      <c r="F390" s="15"/>
      <c r="H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3">
      <c r="A391" s="15"/>
      <c r="B391" s="15"/>
      <c r="C391" s="15"/>
      <c r="D391" s="15"/>
      <c r="F391" s="15"/>
      <c r="H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3">
      <c r="A392" s="15"/>
      <c r="B392" s="15"/>
      <c r="C392" s="15"/>
      <c r="D392" s="15"/>
      <c r="F392" s="15"/>
      <c r="H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3">
      <c r="A393" s="15"/>
      <c r="B393" s="15"/>
      <c r="C393" s="15"/>
      <c r="D393" s="15"/>
      <c r="F393" s="15"/>
      <c r="H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3">
      <c r="A394" s="15"/>
      <c r="B394" s="15"/>
      <c r="C394" s="15"/>
      <c r="D394" s="15"/>
      <c r="F394" s="15"/>
      <c r="H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3">
      <c r="A395" s="15"/>
      <c r="B395" s="15"/>
      <c r="C395" s="15"/>
      <c r="D395" s="15"/>
      <c r="F395" s="15"/>
      <c r="H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3">
      <c r="A396" s="15"/>
      <c r="B396" s="15"/>
      <c r="C396" s="15"/>
      <c r="D396" s="15"/>
      <c r="F396" s="15"/>
      <c r="H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3">
      <c r="A397" s="15"/>
      <c r="B397" s="15"/>
      <c r="C397" s="15"/>
      <c r="D397" s="15"/>
      <c r="F397" s="15"/>
      <c r="H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3">
      <c r="A398" s="15"/>
      <c r="B398" s="15"/>
      <c r="C398" s="15"/>
      <c r="D398" s="15"/>
      <c r="F398" s="15"/>
      <c r="H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3">
      <c r="A399" s="15"/>
      <c r="B399" s="15"/>
      <c r="C399" s="15"/>
      <c r="D399" s="15"/>
      <c r="F399" s="15"/>
      <c r="H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3">
      <c r="A400" s="15"/>
      <c r="B400" s="15"/>
      <c r="C400" s="15"/>
      <c r="D400" s="15"/>
      <c r="F400" s="15"/>
      <c r="H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3">
      <c r="A401" s="15"/>
      <c r="B401" s="15"/>
      <c r="C401" s="15"/>
      <c r="D401" s="15"/>
      <c r="F401" s="15"/>
      <c r="H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3">
      <c r="A402" s="15"/>
      <c r="B402" s="15"/>
      <c r="C402" s="15"/>
      <c r="D402" s="15"/>
      <c r="F402" s="15"/>
      <c r="H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3">
      <c r="A403" s="15"/>
      <c r="B403" s="15"/>
      <c r="C403" s="15"/>
      <c r="D403" s="15"/>
      <c r="F403" s="15"/>
      <c r="H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3">
      <c r="A404" s="15"/>
      <c r="B404" s="15"/>
      <c r="C404" s="15"/>
      <c r="D404" s="15"/>
      <c r="F404" s="15"/>
      <c r="H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3">
      <c r="A405" s="15"/>
      <c r="B405" s="15"/>
      <c r="C405" s="15"/>
      <c r="D405" s="15"/>
      <c r="F405" s="15"/>
      <c r="H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3">
      <c r="A406" s="15"/>
      <c r="B406" s="15"/>
      <c r="C406" s="15"/>
      <c r="D406" s="15"/>
      <c r="F406" s="15"/>
      <c r="H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3">
      <c r="A407" s="15"/>
      <c r="B407" s="15"/>
      <c r="C407" s="15"/>
      <c r="D407" s="15"/>
      <c r="F407" s="15"/>
      <c r="H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3">
      <c r="A408" s="15"/>
      <c r="B408" s="15"/>
      <c r="C408" s="15"/>
      <c r="D408" s="15"/>
      <c r="F408" s="15"/>
      <c r="H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3">
      <c r="A409" s="15"/>
      <c r="B409" s="15"/>
      <c r="C409" s="15"/>
      <c r="D409" s="15"/>
      <c r="F409" s="15"/>
      <c r="H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3">
      <c r="A410" s="15"/>
      <c r="B410" s="15"/>
      <c r="C410" s="15"/>
      <c r="D410" s="15"/>
      <c r="F410" s="15"/>
      <c r="H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3">
      <c r="A411" s="15"/>
      <c r="B411" s="15"/>
      <c r="C411" s="15"/>
      <c r="D411" s="15"/>
      <c r="F411" s="15"/>
      <c r="H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3">
      <c r="A412" s="15"/>
      <c r="B412" s="15"/>
      <c r="C412" s="15"/>
      <c r="D412" s="15"/>
      <c r="F412" s="15"/>
      <c r="H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3">
      <c r="A413" s="15"/>
      <c r="B413" s="15"/>
      <c r="C413" s="15"/>
      <c r="D413" s="15"/>
      <c r="F413" s="15"/>
      <c r="H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3">
      <c r="A414" s="15"/>
      <c r="B414" s="15"/>
      <c r="C414" s="15"/>
      <c r="D414" s="15"/>
      <c r="F414" s="15"/>
      <c r="H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3">
      <c r="A415" s="15"/>
      <c r="B415" s="15"/>
      <c r="C415" s="15"/>
      <c r="D415" s="15"/>
      <c r="F415" s="15"/>
      <c r="H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3">
      <c r="A416" s="15"/>
      <c r="B416" s="15"/>
      <c r="C416" s="15"/>
      <c r="D416" s="15"/>
      <c r="F416" s="15"/>
      <c r="H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3">
      <c r="A417" s="15"/>
      <c r="B417" s="15"/>
      <c r="C417" s="15"/>
      <c r="D417" s="15"/>
      <c r="F417" s="15"/>
      <c r="H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3">
      <c r="A418" s="15"/>
      <c r="B418" s="15"/>
      <c r="C418" s="15"/>
      <c r="D418" s="15"/>
      <c r="F418" s="15"/>
      <c r="H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3">
      <c r="A419" s="15"/>
      <c r="B419" s="15"/>
      <c r="C419" s="15"/>
      <c r="D419" s="15"/>
      <c r="F419" s="15"/>
      <c r="H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3">
      <c r="A420" s="15"/>
      <c r="B420" s="15"/>
      <c r="C420" s="15"/>
      <c r="D420" s="15"/>
      <c r="F420" s="15"/>
      <c r="H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3">
      <c r="A421" s="15"/>
      <c r="B421" s="15"/>
      <c r="C421" s="15"/>
      <c r="D421" s="15"/>
      <c r="F421" s="15"/>
      <c r="H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3">
      <c r="A422" s="15"/>
      <c r="B422" s="15"/>
      <c r="C422" s="15"/>
      <c r="D422" s="15"/>
      <c r="F422" s="15"/>
      <c r="H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3">
      <c r="A423" s="15"/>
      <c r="B423" s="15"/>
      <c r="C423" s="15"/>
      <c r="D423" s="15"/>
      <c r="F423" s="15"/>
      <c r="H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3">
      <c r="A424" s="15"/>
      <c r="B424" s="15"/>
      <c r="C424" s="15"/>
      <c r="D424" s="15"/>
      <c r="F424" s="15"/>
      <c r="H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3">
      <c r="A425" s="15"/>
      <c r="B425" s="15"/>
      <c r="C425" s="15"/>
      <c r="D425" s="15"/>
      <c r="F425" s="15"/>
      <c r="H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3">
      <c r="A426" s="15"/>
      <c r="B426" s="15"/>
      <c r="C426" s="15"/>
      <c r="D426" s="15"/>
      <c r="F426" s="15"/>
      <c r="H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3">
      <c r="A427" s="15"/>
      <c r="B427" s="15"/>
      <c r="C427" s="15"/>
      <c r="D427" s="15"/>
      <c r="F427" s="15"/>
      <c r="H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3">
      <c r="A428" s="15"/>
      <c r="B428" s="15"/>
      <c r="C428" s="15"/>
      <c r="D428" s="15"/>
      <c r="F428" s="15"/>
      <c r="H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3">
      <c r="A429" s="15"/>
      <c r="B429" s="15"/>
      <c r="C429" s="15"/>
      <c r="D429" s="15"/>
      <c r="F429" s="15"/>
      <c r="H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3">
      <c r="A430" s="15"/>
      <c r="B430" s="15"/>
      <c r="C430" s="15"/>
      <c r="D430" s="15"/>
      <c r="F430" s="15"/>
      <c r="H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3">
      <c r="A431" s="15"/>
      <c r="B431" s="15"/>
      <c r="C431" s="15"/>
      <c r="D431" s="15"/>
      <c r="F431" s="15"/>
      <c r="H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3">
      <c r="A432" s="15"/>
      <c r="B432" s="15"/>
      <c r="C432" s="15"/>
      <c r="D432" s="15"/>
      <c r="F432" s="15"/>
      <c r="H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3">
      <c r="A433" s="15"/>
      <c r="B433" s="15"/>
      <c r="C433" s="15"/>
      <c r="D433" s="15"/>
      <c r="F433" s="15"/>
      <c r="H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3">
      <c r="A434" s="15"/>
      <c r="B434" s="15"/>
      <c r="C434" s="15"/>
      <c r="D434" s="15"/>
      <c r="F434" s="15"/>
      <c r="H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3">
      <c r="A435" s="15"/>
      <c r="B435" s="15"/>
      <c r="C435" s="15"/>
      <c r="D435" s="15"/>
      <c r="F435" s="15"/>
      <c r="H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3">
      <c r="A436" s="15"/>
      <c r="B436" s="15"/>
      <c r="C436" s="15"/>
      <c r="D436" s="15"/>
      <c r="F436" s="15"/>
      <c r="H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3">
      <c r="A437" s="15"/>
      <c r="B437" s="15"/>
      <c r="C437" s="15"/>
      <c r="D437" s="15"/>
      <c r="F437" s="15"/>
      <c r="H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3">
      <c r="A438" s="15"/>
      <c r="B438" s="15"/>
      <c r="C438" s="15"/>
      <c r="D438" s="15"/>
      <c r="F438" s="15"/>
      <c r="H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3">
      <c r="A439" s="15"/>
      <c r="B439" s="15"/>
      <c r="C439" s="15"/>
      <c r="D439" s="15"/>
      <c r="F439" s="15"/>
      <c r="H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3">
      <c r="A440" s="15"/>
      <c r="B440" s="15"/>
      <c r="C440" s="15"/>
      <c r="D440" s="15"/>
      <c r="F440" s="15"/>
      <c r="H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3">
      <c r="A441" s="15"/>
      <c r="B441" s="15"/>
      <c r="C441" s="15"/>
      <c r="D441" s="15"/>
      <c r="F441" s="15"/>
      <c r="H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3">
      <c r="A442" s="15"/>
      <c r="B442" s="15"/>
      <c r="C442" s="15"/>
      <c r="D442" s="15"/>
      <c r="F442" s="15"/>
      <c r="H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3">
      <c r="A443" s="15"/>
      <c r="B443" s="15"/>
      <c r="C443" s="15"/>
      <c r="D443" s="15"/>
      <c r="F443" s="15"/>
      <c r="H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3">
      <c r="A444" s="15"/>
      <c r="B444" s="15"/>
      <c r="C444" s="15"/>
      <c r="D444" s="15"/>
      <c r="F444" s="15"/>
      <c r="H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3">
      <c r="A445" s="15"/>
      <c r="B445" s="15"/>
      <c r="C445" s="15"/>
      <c r="D445" s="15"/>
      <c r="F445" s="15"/>
      <c r="H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3">
      <c r="A446" s="15"/>
      <c r="B446" s="15"/>
      <c r="C446" s="15"/>
      <c r="D446" s="15"/>
      <c r="F446" s="15"/>
      <c r="H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3">
      <c r="A447" s="15"/>
      <c r="B447" s="15"/>
      <c r="C447" s="15"/>
      <c r="D447" s="15"/>
      <c r="F447" s="15"/>
      <c r="H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3">
      <c r="A448" s="15"/>
      <c r="B448" s="15"/>
      <c r="C448" s="15"/>
      <c r="D448" s="15"/>
      <c r="F448" s="15"/>
      <c r="H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3">
      <c r="A449" s="15"/>
      <c r="B449" s="15"/>
      <c r="C449" s="15"/>
      <c r="D449" s="15"/>
      <c r="F449" s="15"/>
      <c r="H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3">
      <c r="A450" s="15"/>
      <c r="B450" s="15"/>
      <c r="C450" s="15"/>
      <c r="D450" s="15"/>
      <c r="F450" s="15"/>
      <c r="H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3">
      <c r="A451" s="15"/>
      <c r="B451" s="15"/>
      <c r="C451" s="15"/>
      <c r="D451" s="15"/>
      <c r="F451" s="15"/>
      <c r="H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3">
      <c r="A452" s="15"/>
      <c r="B452" s="15"/>
      <c r="C452" s="15"/>
      <c r="D452" s="15"/>
      <c r="F452" s="15"/>
      <c r="H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3">
      <c r="A453" s="15"/>
      <c r="B453" s="15"/>
      <c r="C453" s="15"/>
      <c r="D453" s="15"/>
      <c r="F453" s="15"/>
      <c r="H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3">
      <c r="A454" s="15"/>
      <c r="B454" s="15"/>
      <c r="C454" s="15"/>
      <c r="D454" s="15"/>
      <c r="F454" s="15"/>
      <c r="H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3">
      <c r="A455" s="15"/>
      <c r="B455" s="15"/>
      <c r="C455" s="15"/>
      <c r="D455" s="15"/>
      <c r="F455" s="15"/>
      <c r="H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3">
      <c r="A456" s="15"/>
      <c r="B456" s="15"/>
      <c r="C456" s="15"/>
      <c r="D456" s="15"/>
      <c r="F456" s="15"/>
      <c r="H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3">
      <c r="A457" s="15"/>
      <c r="B457" s="15"/>
      <c r="C457" s="15"/>
      <c r="D457" s="15"/>
      <c r="F457" s="15"/>
      <c r="H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3">
      <c r="A458" s="15"/>
      <c r="B458" s="15"/>
      <c r="C458" s="15"/>
      <c r="D458" s="15"/>
      <c r="F458" s="15"/>
      <c r="H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3">
      <c r="A459" s="15"/>
      <c r="B459" s="15"/>
      <c r="C459" s="15"/>
      <c r="D459" s="15"/>
      <c r="F459" s="15"/>
      <c r="H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3">
      <c r="A460" s="15"/>
      <c r="B460" s="15"/>
      <c r="C460" s="15"/>
      <c r="D460" s="15"/>
      <c r="F460" s="15"/>
      <c r="H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3">
      <c r="A461" s="15"/>
      <c r="B461" s="15"/>
      <c r="C461" s="15"/>
      <c r="D461" s="15"/>
      <c r="F461" s="15"/>
      <c r="H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3">
      <c r="A462" s="15"/>
      <c r="B462" s="15"/>
      <c r="C462" s="15"/>
      <c r="D462" s="15"/>
      <c r="F462" s="15"/>
      <c r="H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3">
      <c r="A463" s="15"/>
      <c r="B463" s="15"/>
      <c r="C463" s="15"/>
      <c r="D463" s="15"/>
      <c r="F463" s="15"/>
      <c r="H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3">
      <c r="A464" s="15"/>
      <c r="B464" s="15"/>
      <c r="C464" s="15"/>
      <c r="D464" s="15"/>
      <c r="F464" s="15"/>
      <c r="H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3">
      <c r="A465" s="15"/>
      <c r="B465" s="15"/>
      <c r="C465" s="15"/>
      <c r="D465" s="15"/>
      <c r="F465" s="15"/>
      <c r="H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3">
      <c r="A466" s="15"/>
      <c r="B466" s="15"/>
      <c r="C466" s="15"/>
      <c r="D466" s="15"/>
      <c r="F466" s="15"/>
      <c r="H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3">
      <c r="A467" s="15"/>
      <c r="B467" s="15"/>
      <c r="C467" s="15"/>
      <c r="D467" s="15"/>
      <c r="F467" s="15"/>
      <c r="H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3">
      <c r="A468" s="15"/>
      <c r="B468" s="15"/>
      <c r="C468" s="15"/>
      <c r="D468" s="15"/>
      <c r="F468" s="15"/>
      <c r="H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3">
      <c r="A469" s="15"/>
      <c r="B469" s="15"/>
      <c r="C469" s="15"/>
      <c r="D469" s="15"/>
      <c r="F469" s="15"/>
      <c r="H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3">
      <c r="A470" s="15"/>
      <c r="B470" s="15"/>
      <c r="C470" s="15"/>
      <c r="D470" s="15"/>
      <c r="F470" s="15"/>
      <c r="H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3">
      <c r="A471" s="15"/>
      <c r="B471" s="15"/>
      <c r="C471" s="15"/>
      <c r="D471" s="15"/>
      <c r="F471" s="15"/>
      <c r="H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3">
      <c r="A472" s="15"/>
      <c r="B472" s="15"/>
      <c r="C472" s="15"/>
      <c r="D472" s="15"/>
      <c r="F472" s="15"/>
      <c r="H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3">
      <c r="A473" s="15"/>
      <c r="B473" s="15"/>
      <c r="C473" s="15"/>
      <c r="D473" s="15"/>
      <c r="F473" s="15"/>
      <c r="H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3">
      <c r="A474" s="15"/>
      <c r="B474" s="15"/>
      <c r="C474" s="15"/>
      <c r="D474" s="15"/>
      <c r="F474" s="15"/>
      <c r="H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3">
      <c r="A475" s="15"/>
      <c r="B475" s="15"/>
      <c r="C475" s="15"/>
      <c r="D475" s="15"/>
      <c r="F475" s="15"/>
      <c r="H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3">
      <c r="A476" s="15"/>
      <c r="B476" s="15"/>
      <c r="C476" s="15"/>
      <c r="D476" s="15"/>
      <c r="F476" s="15"/>
      <c r="H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3">
      <c r="A477" s="15"/>
      <c r="B477" s="15"/>
      <c r="C477" s="15"/>
      <c r="D477" s="15"/>
      <c r="F477" s="15"/>
      <c r="H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3">
      <c r="A478" s="15"/>
      <c r="B478" s="15"/>
      <c r="C478" s="15"/>
      <c r="D478" s="15"/>
      <c r="F478" s="15"/>
      <c r="H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3">
      <c r="A479" s="15"/>
      <c r="B479" s="15"/>
      <c r="C479" s="15"/>
      <c r="D479" s="15"/>
      <c r="F479" s="15"/>
      <c r="H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3">
      <c r="A480" s="15"/>
      <c r="B480" s="15"/>
      <c r="C480" s="15"/>
      <c r="D480" s="15"/>
      <c r="F480" s="15"/>
      <c r="H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3">
      <c r="A481" s="15"/>
      <c r="B481" s="15"/>
      <c r="C481" s="15"/>
      <c r="D481" s="15"/>
      <c r="F481" s="15"/>
      <c r="H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3">
      <c r="A482" s="15"/>
      <c r="B482" s="15"/>
      <c r="C482" s="15"/>
      <c r="D482" s="15"/>
      <c r="F482" s="15"/>
      <c r="H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3">
      <c r="A483" s="15"/>
      <c r="B483" s="15"/>
      <c r="C483" s="15"/>
      <c r="D483" s="15"/>
      <c r="F483" s="15"/>
      <c r="H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3">
      <c r="A484" s="15"/>
      <c r="B484" s="15"/>
      <c r="C484" s="15"/>
      <c r="D484" s="15"/>
      <c r="F484" s="15"/>
      <c r="H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3">
      <c r="A485" s="15"/>
      <c r="B485" s="15"/>
      <c r="C485" s="15"/>
      <c r="D485" s="15"/>
      <c r="F485" s="15"/>
      <c r="H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3">
      <c r="A486" s="15"/>
      <c r="B486" s="15"/>
      <c r="C486" s="15"/>
      <c r="D486" s="15"/>
      <c r="F486" s="15"/>
      <c r="H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3">
      <c r="A487" s="15"/>
      <c r="B487" s="15"/>
      <c r="C487" s="15"/>
      <c r="D487" s="15"/>
      <c r="F487" s="15"/>
      <c r="H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3">
      <c r="A488" s="15"/>
      <c r="B488" s="15"/>
      <c r="C488" s="15"/>
      <c r="D488" s="15"/>
      <c r="F488" s="15"/>
      <c r="H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3">
      <c r="A489" s="15"/>
      <c r="B489" s="15"/>
      <c r="C489" s="15"/>
      <c r="D489" s="15"/>
      <c r="F489" s="15"/>
      <c r="H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3">
      <c r="A490" s="15"/>
      <c r="B490" s="15"/>
      <c r="C490" s="15"/>
      <c r="D490" s="15"/>
      <c r="F490" s="15"/>
      <c r="H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3">
      <c r="A491" s="15"/>
      <c r="B491" s="15"/>
      <c r="C491" s="15"/>
      <c r="D491" s="15"/>
      <c r="F491" s="15"/>
      <c r="H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3">
      <c r="A492" s="15"/>
      <c r="B492" s="15"/>
      <c r="C492" s="15"/>
      <c r="D492" s="15"/>
      <c r="F492" s="15"/>
      <c r="H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3">
      <c r="A493" s="15"/>
      <c r="B493" s="15"/>
      <c r="C493" s="15"/>
      <c r="D493" s="15"/>
      <c r="F493" s="15"/>
      <c r="H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3">
      <c r="A494" s="15"/>
      <c r="B494" s="15"/>
      <c r="C494" s="15"/>
      <c r="D494" s="15"/>
      <c r="F494" s="15"/>
      <c r="H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3">
      <c r="A495" s="15"/>
      <c r="B495" s="15"/>
      <c r="C495" s="15"/>
      <c r="D495" s="15"/>
      <c r="F495" s="15"/>
      <c r="H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3">
      <c r="A496" s="15"/>
      <c r="B496" s="15"/>
      <c r="C496" s="15"/>
      <c r="D496" s="15"/>
      <c r="F496" s="15"/>
      <c r="H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3">
      <c r="A497" s="15"/>
      <c r="B497" s="15"/>
      <c r="C497" s="15"/>
      <c r="D497" s="15"/>
      <c r="F497" s="15"/>
      <c r="H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3">
      <c r="A498" s="15"/>
      <c r="B498" s="15"/>
      <c r="C498" s="15"/>
      <c r="D498" s="15"/>
      <c r="F498" s="15"/>
      <c r="H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3">
      <c r="A499" s="15"/>
      <c r="B499" s="15"/>
      <c r="C499" s="15"/>
      <c r="D499" s="15"/>
      <c r="F499" s="15"/>
      <c r="H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3">
      <c r="A500" s="15"/>
      <c r="B500" s="15"/>
      <c r="C500" s="15"/>
      <c r="D500" s="15"/>
      <c r="F500" s="15"/>
      <c r="H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3">
      <c r="A501" s="15"/>
      <c r="B501" s="15"/>
      <c r="C501" s="15"/>
      <c r="D501" s="15"/>
      <c r="F501" s="15"/>
      <c r="H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3">
      <c r="A502" s="15"/>
      <c r="B502" s="15"/>
      <c r="C502" s="15"/>
      <c r="D502" s="15"/>
      <c r="F502" s="15"/>
      <c r="H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3">
      <c r="A503" s="15"/>
      <c r="B503" s="15"/>
      <c r="C503" s="15"/>
      <c r="D503" s="15"/>
      <c r="F503" s="15"/>
      <c r="H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3">
      <c r="A504" s="15"/>
      <c r="B504" s="15"/>
      <c r="C504" s="15"/>
      <c r="D504" s="15"/>
      <c r="F504" s="15"/>
      <c r="H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3">
      <c r="A505" s="15"/>
      <c r="B505" s="15"/>
      <c r="C505" s="15"/>
      <c r="D505" s="15"/>
      <c r="F505" s="15"/>
      <c r="H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3">
      <c r="A506" s="15"/>
      <c r="B506" s="15"/>
      <c r="C506" s="15"/>
      <c r="D506" s="15"/>
      <c r="F506" s="15"/>
      <c r="H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3">
      <c r="A507" s="15"/>
      <c r="B507" s="15"/>
      <c r="C507" s="15"/>
      <c r="D507" s="15"/>
      <c r="F507" s="15"/>
      <c r="H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3">
      <c r="A508" s="15"/>
      <c r="B508" s="15"/>
      <c r="C508" s="15"/>
      <c r="D508" s="15"/>
      <c r="F508" s="15"/>
      <c r="H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3">
      <c r="A509" s="15"/>
      <c r="B509" s="15"/>
      <c r="C509" s="15"/>
      <c r="D509" s="15"/>
      <c r="F509" s="15"/>
      <c r="H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3">
      <c r="A510" s="15"/>
      <c r="B510" s="15"/>
      <c r="C510" s="15"/>
      <c r="D510" s="15"/>
      <c r="F510" s="15"/>
      <c r="H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3">
      <c r="A511" s="15"/>
      <c r="B511" s="15"/>
      <c r="C511" s="15"/>
      <c r="D511" s="15"/>
      <c r="F511" s="15"/>
      <c r="H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3">
      <c r="A512" s="15"/>
      <c r="B512" s="15"/>
      <c r="C512" s="15"/>
      <c r="D512" s="15"/>
      <c r="F512" s="15"/>
      <c r="H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3">
      <c r="A513" s="15"/>
      <c r="B513" s="15"/>
      <c r="C513" s="15"/>
      <c r="D513" s="15"/>
      <c r="F513" s="15"/>
      <c r="H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3">
      <c r="A514" s="15"/>
      <c r="B514" s="15"/>
      <c r="C514" s="15"/>
      <c r="D514" s="15"/>
      <c r="F514" s="15"/>
      <c r="H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3">
      <c r="A515" s="15"/>
      <c r="B515" s="15"/>
      <c r="C515" s="15"/>
      <c r="D515" s="15"/>
      <c r="F515" s="15"/>
      <c r="H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3">
      <c r="A516" s="15"/>
      <c r="B516" s="15"/>
      <c r="C516" s="15"/>
      <c r="D516" s="15"/>
      <c r="F516" s="15"/>
      <c r="H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3">
      <c r="A517" s="15"/>
      <c r="B517" s="15"/>
      <c r="C517" s="15"/>
      <c r="D517" s="15"/>
      <c r="F517" s="15"/>
      <c r="H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3">
      <c r="A518" s="15"/>
      <c r="B518" s="15"/>
      <c r="C518" s="15"/>
      <c r="D518" s="15"/>
      <c r="F518" s="15"/>
      <c r="H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3">
      <c r="A519" s="15"/>
      <c r="B519" s="15"/>
      <c r="C519" s="15"/>
      <c r="D519" s="15"/>
      <c r="F519" s="15"/>
      <c r="H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3">
      <c r="A520" s="15"/>
      <c r="B520" s="15"/>
      <c r="C520" s="15"/>
      <c r="D520" s="15"/>
      <c r="F520" s="15"/>
      <c r="H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3">
      <c r="A521" s="15"/>
      <c r="B521" s="15"/>
      <c r="C521" s="15"/>
      <c r="D521" s="15"/>
      <c r="F521" s="15"/>
      <c r="H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3">
      <c r="A522" s="15"/>
      <c r="B522" s="15"/>
      <c r="C522" s="15"/>
      <c r="D522" s="15"/>
      <c r="F522" s="15"/>
      <c r="H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3">
      <c r="A523" s="15"/>
      <c r="B523" s="15"/>
      <c r="C523" s="15"/>
      <c r="D523" s="15"/>
      <c r="F523" s="15"/>
      <c r="H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3">
      <c r="A524" s="15"/>
      <c r="B524" s="15"/>
      <c r="C524" s="15"/>
      <c r="D524" s="15"/>
      <c r="F524" s="15"/>
      <c r="H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3">
      <c r="A525" s="15"/>
      <c r="B525" s="15"/>
      <c r="C525" s="15"/>
      <c r="D525" s="15"/>
      <c r="F525" s="15"/>
      <c r="H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3">
      <c r="A526" s="15"/>
      <c r="B526" s="15"/>
      <c r="C526" s="15"/>
      <c r="D526" s="15"/>
      <c r="F526" s="15"/>
      <c r="H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3">
      <c r="A527" s="15"/>
      <c r="B527" s="15"/>
      <c r="C527" s="15"/>
      <c r="D527" s="15"/>
      <c r="F527" s="15"/>
      <c r="H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3">
      <c r="A528" s="15"/>
      <c r="B528" s="15"/>
      <c r="C528" s="15"/>
      <c r="D528" s="15"/>
      <c r="F528" s="15"/>
      <c r="H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3">
      <c r="A529" s="15"/>
      <c r="B529" s="15"/>
      <c r="C529" s="15"/>
      <c r="D529" s="15"/>
      <c r="F529" s="15"/>
      <c r="H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3">
      <c r="A530" s="15"/>
      <c r="B530" s="15"/>
      <c r="C530" s="15"/>
      <c r="D530" s="15"/>
      <c r="F530" s="15"/>
      <c r="H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3">
      <c r="A531" s="15"/>
      <c r="B531" s="15"/>
      <c r="C531" s="15"/>
      <c r="D531" s="15"/>
      <c r="F531" s="15"/>
      <c r="H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3">
      <c r="A532" s="15"/>
      <c r="B532" s="15"/>
      <c r="C532" s="15"/>
      <c r="D532" s="15"/>
      <c r="F532" s="15"/>
      <c r="H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3">
      <c r="A533" s="15"/>
      <c r="B533" s="15"/>
      <c r="C533" s="15"/>
      <c r="D533" s="15"/>
      <c r="F533" s="15"/>
      <c r="H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3">
      <c r="A534" s="15"/>
      <c r="B534" s="15"/>
      <c r="C534" s="15"/>
      <c r="D534" s="15"/>
      <c r="F534" s="15"/>
      <c r="H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3">
      <c r="A535" s="15"/>
      <c r="B535" s="15"/>
      <c r="C535" s="15"/>
      <c r="D535" s="15"/>
      <c r="F535" s="15"/>
      <c r="H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3">
      <c r="A536" s="15"/>
      <c r="B536" s="15"/>
      <c r="C536" s="15"/>
      <c r="D536" s="15"/>
      <c r="F536" s="15"/>
      <c r="H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3">
      <c r="A537" s="15"/>
      <c r="B537" s="15"/>
      <c r="C537" s="15"/>
      <c r="D537" s="15"/>
      <c r="F537" s="15"/>
      <c r="H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3">
      <c r="A538" s="15"/>
      <c r="B538" s="15"/>
      <c r="C538" s="15"/>
      <c r="D538" s="15"/>
      <c r="F538" s="15"/>
      <c r="H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3">
      <c r="A539" s="15"/>
      <c r="B539" s="15"/>
      <c r="C539" s="15"/>
      <c r="D539" s="15"/>
      <c r="F539" s="15"/>
      <c r="H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3">
      <c r="A540" s="15"/>
      <c r="B540" s="15"/>
      <c r="C540" s="15"/>
      <c r="D540" s="15"/>
      <c r="F540" s="15"/>
      <c r="H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3">
      <c r="A541" s="15"/>
      <c r="B541" s="15"/>
      <c r="C541" s="15"/>
      <c r="D541" s="15"/>
      <c r="F541" s="15"/>
      <c r="H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3">
      <c r="A542" s="15"/>
      <c r="B542" s="15"/>
      <c r="C542" s="15"/>
      <c r="D542" s="15"/>
      <c r="F542" s="15"/>
      <c r="H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3">
      <c r="A543" s="15"/>
      <c r="B543" s="15"/>
      <c r="C543" s="15"/>
      <c r="D543" s="15"/>
      <c r="F543" s="15"/>
      <c r="H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3">
      <c r="A544" s="15"/>
      <c r="B544" s="15"/>
      <c r="C544" s="15"/>
      <c r="D544" s="15"/>
      <c r="F544" s="15"/>
      <c r="H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3">
      <c r="A545" s="15"/>
      <c r="B545" s="15"/>
      <c r="C545" s="15"/>
      <c r="D545" s="15"/>
      <c r="F545" s="15"/>
      <c r="H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3">
      <c r="A546" s="15"/>
      <c r="B546" s="15"/>
      <c r="C546" s="15"/>
      <c r="D546" s="15"/>
      <c r="F546" s="15"/>
      <c r="H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3">
      <c r="A547" s="15"/>
      <c r="B547" s="15"/>
      <c r="C547" s="15"/>
      <c r="D547" s="15"/>
      <c r="F547" s="15"/>
      <c r="H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3">
      <c r="A548" s="15"/>
      <c r="B548" s="15"/>
      <c r="C548" s="15"/>
      <c r="D548" s="15"/>
      <c r="F548" s="15"/>
      <c r="H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3">
      <c r="A549" s="15"/>
      <c r="B549" s="15"/>
      <c r="C549" s="15"/>
      <c r="D549" s="15"/>
      <c r="F549" s="15"/>
      <c r="H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3">
      <c r="A550" s="15"/>
      <c r="B550" s="15"/>
      <c r="C550" s="15"/>
      <c r="D550" s="15"/>
      <c r="F550" s="15"/>
      <c r="H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3">
      <c r="A551" s="15"/>
      <c r="B551" s="15"/>
      <c r="C551" s="15"/>
      <c r="D551" s="15"/>
      <c r="F551" s="15"/>
      <c r="H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3">
      <c r="A552" s="15"/>
      <c r="B552" s="15"/>
      <c r="C552" s="15"/>
      <c r="D552" s="15"/>
      <c r="F552" s="15"/>
      <c r="H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3">
      <c r="A553" s="15"/>
      <c r="B553" s="15"/>
      <c r="C553" s="15"/>
      <c r="D553" s="15"/>
      <c r="F553" s="15"/>
      <c r="H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3">
      <c r="A554" s="15"/>
      <c r="B554" s="15"/>
      <c r="C554" s="15"/>
      <c r="D554" s="15"/>
      <c r="F554" s="15"/>
      <c r="H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3">
      <c r="A555" s="15"/>
      <c r="B555" s="15"/>
      <c r="C555" s="15"/>
      <c r="D555" s="15"/>
      <c r="F555" s="15"/>
      <c r="H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3">
      <c r="A556" s="15"/>
      <c r="B556" s="15"/>
      <c r="C556" s="15"/>
      <c r="D556" s="15"/>
      <c r="F556" s="15"/>
      <c r="H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3">
      <c r="A557" s="15"/>
      <c r="B557" s="15"/>
      <c r="C557" s="15"/>
      <c r="D557" s="15"/>
      <c r="F557" s="15"/>
      <c r="H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3">
      <c r="A558" s="15"/>
      <c r="B558" s="15"/>
      <c r="C558" s="15"/>
      <c r="D558" s="15"/>
      <c r="F558" s="15"/>
      <c r="H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3">
      <c r="A559" s="15"/>
      <c r="B559" s="15"/>
      <c r="C559" s="15"/>
      <c r="D559" s="15"/>
      <c r="F559" s="15"/>
      <c r="H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3">
      <c r="A560" s="15"/>
      <c r="B560" s="15"/>
      <c r="C560" s="15"/>
      <c r="D560" s="15"/>
      <c r="F560" s="15"/>
      <c r="H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3">
      <c r="A561" s="15"/>
      <c r="B561" s="15"/>
      <c r="C561" s="15"/>
      <c r="D561" s="15"/>
      <c r="F561" s="15"/>
      <c r="H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3">
      <c r="A562" s="15"/>
      <c r="B562" s="15"/>
      <c r="C562" s="15"/>
      <c r="D562" s="15"/>
      <c r="F562" s="15"/>
      <c r="H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3">
      <c r="A563" s="15"/>
      <c r="B563" s="15"/>
      <c r="C563" s="15"/>
      <c r="D563" s="15"/>
      <c r="F563" s="15"/>
      <c r="H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3">
      <c r="A564" s="15"/>
      <c r="B564" s="15"/>
      <c r="C564" s="15"/>
      <c r="D564" s="15"/>
      <c r="F564" s="15"/>
      <c r="H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3">
      <c r="A565" s="15"/>
      <c r="B565" s="15"/>
      <c r="C565" s="15"/>
      <c r="D565" s="15"/>
      <c r="F565" s="15"/>
      <c r="H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3">
      <c r="A566" s="15"/>
      <c r="B566" s="15"/>
      <c r="C566" s="15"/>
      <c r="D566" s="15"/>
      <c r="F566" s="15"/>
      <c r="H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3">
      <c r="A567" s="15"/>
      <c r="B567" s="15"/>
      <c r="C567" s="15"/>
      <c r="D567" s="15"/>
      <c r="F567" s="15"/>
      <c r="H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3">
      <c r="A568" s="15"/>
      <c r="B568" s="15"/>
      <c r="C568" s="15"/>
      <c r="D568" s="15"/>
      <c r="F568" s="15"/>
      <c r="H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3">
      <c r="A569" s="15"/>
      <c r="B569" s="15"/>
      <c r="C569" s="15"/>
      <c r="D569" s="15"/>
      <c r="F569" s="15"/>
      <c r="H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3">
      <c r="A570" s="15"/>
      <c r="B570" s="15"/>
      <c r="C570" s="15"/>
      <c r="D570" s="15"/>
      <c r="F570" s="15"/>
      <c r="H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3">
      <c r="A571" s="15"/>
      <c r="B571" s="15"/>
      <c r="C571" s="15"/>
      <c r="D571" s="15"/>
      <c r="F571" s="15"/>
      <c r="H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3">
      <c r="A572" s="15"/>
      <c r="B572" s="15"/>
      <c r="C572" s="15"/>
      <c r="D572" s="15"/>
      <c r="F572" s="15"/>
      <c r="H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3">
      <c r="A573" s="15"/>
      <c r="B573" s="15"/>
      <c r="C573" s="15"/>
      <c r="D573" s="15"/>
      <c r="F573" s="15"/>
      <c r="H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3">
      <c r="A574" s="15"/>
      <c r="B574" s="15"/>
      <c r="C574" s="15"/>
      <c r="D574" s="15"/>
      <c r="F574" s="15"/>
      <c r="H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3">
      <c r="A575" s="15"/>
      <c r="B575" s="15"/>
      <c r="C575" s="15"/>
      <c r="D575" s="15"/>
      <c r="F575" s="15"/>
      <c r="H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3">
      <c r="A576" s="15"/>
      <c r="B576" s="15"/>
      <c r="C576" s="15"/>
      <c r="D576" s="15"/>
      <c r="F576" s="15"/>
      <c r="H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3">
      <c r="A577" s="15"/>
      <c r="B577" s="15"/>
      <c r="C577" s="15"/>
      <c r="D577" s="15"/>
      <c r="F577" s="15"/>
      <c r="H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3">
      <c r="A578" s="15"/>
      <c r="B578" s="15"/>
      <c r="C578" s="15"/>
      <c r="D578" s="15"/>
      <c r="F578" s="15"/>
      <c r="H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3">
      <c r="A579" s="15"/>
      <c r="B579" s="15"/>
      <c r="C579" s="15"/>
      <c r="D579" s="15"/>
      <c r="F579" s="15"/>
      <c r="H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3">
      <c r="A580" s="15"/>
      <c r="B580" s="15"/>
      <c r="C580" s="15"/>
      <c r="D580" s="15"/>
      <c r="F580" s="15"/>
      <c r="H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3">
      <c r="A581" s="15"/>
      <c r="B581" s="15"/>
      <c r="C581" s="15"/>
      <c r="D581" s="15"/>
      <c r="F581" s="15"/>
      <c r="H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3">
      <c r="A582" s="15"/>
      <c r="B582" s="15"/>
      <c r="C582" s="15"/>
      <c r="D582" s="15"/>
      <c r="F582" s="15"/>
      <c r="H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3">
      <c r="A583" s="15"/>
      <c r="B583" s="15"/>
      <c r="C583" s="15"/>
      <c r="D583" s="15"/>
      <c r="F583" s="15"/>
      <c r="H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3">
      <c r="A584" s="15"/>
      <c r="B584" s="15"/>
      <c r="C584" s="15"/>
      <c r="D584" s="15"/>
      <c r="F584" s="15"/>
      <c r="H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3">
      <c r="A585" s="15"/>
      <c r="B585" s="15"/>
      <c r="C585" s="15"/>
      <c r="D585" s="15"/>
      <c r="F585" s="15"/>
      <c r="H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3">
      <c r="A586" s="15"/>
      <c r="B586" s="15"/>
      <c r="C586" s="15"/>
      <c r="D586" s="15"/>
      <c r="F586" s="15"/>
      <c r="H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3">
      <c r="A587" s="15"/>
      <c r="B587" s="15"/>
      <c r="C587" s="15"/>
      <c r="D587" s="15"/>
      <c r="F587" s="15"/>
      <c r="H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3">
      <c r="A588" s="15"/>
      <c r="B588" s="15"/>
      <c r="C588" s="15"/>
      <c r="D588" s="15"/>
      <c r="F588" s="15"/>
      <c r="H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3">
      <c r="A589" s="15"/>
      <c r="B589" s="15"/>
      <c r="C589" s="15"/>
      <c r="D589" s="15"/>
      <c r="F589" s="15"/>
      <c r="H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3">
      <c r="A590" s="15"/>
      <c r="B590" s="15"/>
      <c r="C590" s="15"/>
      <c r="D590" s="15"/>
      <c r="F590" s="15"/>
      <c r="H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3">
      <c r="A591" s="15"/>
      <c r="B591" s="15"/>
      <c r="C591" s="15"/>
      <c r="D591" s="15"/>
      <c r="F591" s="15"/>
      <c r="H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3">
      <c r="A592" s="15"/>
      <c r="B592" s="15"/>
      <c r="C592" s="15"/>
      <c r="D592" s="15"/>
      <c r="F592" s="15"/>
      <c r="H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3">
      <c r="A593" s="15"/>
      <c r="B593" s="15"/>
      <c r="C593" s="15"/>
      <c r="D593" s="15"/>
      <c r="F593" s="15"/>
      <c r="H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3">
      <c r="A594" s="15"/>
      <c r="B594" s="15"/>
      <c r="C594" s="15"/>
      <c r="D594" s="15"/>
      <c r="F594" s="15"/>
      <c r="H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3">
      <c r="A595" s="15"/>
      <c r="B595" s="15"/>
      <c r="C595" s="15"/>
      <c r="D595" s="15"/>
      <c r="F595" s="15"/>
      <c r="H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3">
      <c r="A596" s="15"/>
      <c r="B596" s="15"/>
      <c r="C596" s="15"/>
      <c r="D596" s="15"/>
      <c r="F596" s="15"/>
      <c r="H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3">
      <c r="A597" s="15"/>
      <c r="B597" s="15"/>
      <c r="C597" s="15"/>
      <c r="D597" s="15"/>
      <c r="F597" s="15"/>
      <c r="H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3">
      <c r="A598" s="15"/>
      <c r="B598" s="15"/>
      <c r="C598" s="15"/>
      <c r="D598" s="15"/>
      <c r="F598" s="15"/>
      <c r="H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3">
      <c r="A599" s="15"/>
      <c r="B599" s="15"/>
      <c r="C599" s="15"/>
      <c r="D599" s="15"/>
      <c r="F599" s="15"/>
      <c r="H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3">
      <c r="A600" s="15"/>
      <c r="B600" s="15"/>
      <c r="C600" s="15"/>
      <c r="D600" s="15"/>
      <c r="F600" s="15"/>
      <c r="H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3">
      <c r="A601" s="15"/>
      <c r="B601" s="15"/>
      <c r="C601" s="15"/>
      <c r="D601" s="15"/>
      <c r="F601" s="15"/>
      <c r="H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3">
      <c r="A602" s="15"/>
      <c r="B602" s="15"/>
      <c r="C602" s="15"/>
      <c r="D602" s="15"/>
      <c r="F602" s="15"/>
      <c r="H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3">
      <c r="A603" s="15"/>
      <c r="B603" s="15"/>
      <c r="C603" s="15"/>
      <c r="D603" s="15"/>
      <c r="F603" s="15"/>
      <c r="H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3">
      <c r="A604" s="15"/>
      <c r="B604" s="15"/>
      <c r="C604" s="15"/>
      <c r="D604" s="15"/>
      <c r="F604" s="15"/>
      <c r="H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3">
      <c r="A605" s="15"/>
      <c r="B605" s="15"/>
      <c r="C605" s="15"/>
      <c r="D605" s="15"/>
      <c r="F605" s="15"/>
      <c r="H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3">
      <c r="A606" s="15"/>
      <c r="B606" s="15"/>
      <c r="C606" s="15"/>
      <c r="D606" s="15"/>
      <c r="F606" s="15"/>
      <c r="H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3">
      <c r="A607" s="15"/>
      <c r="B607" s="15"/>
      <c r="C607" s="15"/>
      <c r="D607" s="15"/>
      <c r="F607" s="15"/>
      <c r="H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3">
      <c r="A608" s="15"/>
      <c r="B608" s="15"/>
      <c r="C608" s="15"/>
      <c r="D608" s="15"/>
      <c r="F608" s="15"/>
      <c r="H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3">
      <c r="A609" s="15"/>
      <c r="B609" s="15"/>
      <c r="C609" s="15"/>
      <c r="D609" s="15"/>
      <c r="F609" s="15"/>
      <c r="H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3">
      <c r="A610" s="15"/>
      <c r="B610" s="15"/>
      <c r="C610" s="15"/>
      <c r="D610" s="15"/>
      <c r="F610" s="15"/>
      <c r="H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3">
      <c r="A611" s="15"/>
      <c r="B611" s="15"/>
      <c r="C611" s="15"/>
      <c r="D611" s="15"/>
      <c r="F611" s="15"/>
      <c r="H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3">
      <c r="A612" s="15"/>
      <c r="B612" s="15"/>
      <c r="C612" s="15"/>
      <c r="D612" s="15"/>
      <c r="F612" s="15"/>
      <c r="H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3">
      <c r="A613" s="15"/>
      <c r="B613" s="15"/>
      <c r="C613" s="15"/>
      <c r="D613" s="15"/>
      <c r="F613" s="15"/>
      <c r="H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3">
      <c r="A614" s="15"/>
      <c r="B614" s="15"/>
      <c r="C614" s="15"/>
      <c r="D614" s="15"/>
      <c r="F614" s="15"/>
      <c r="H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3">
      <c r="A615" s="15"/>
      <c r="B615" s="15"/>
      <c r="C615" s="15"/>
      <c r="D615" s="15"/>
      <c r="F615" s="15"/>
      <c r="H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3">
      <c r="A616" s="15"/>
      <c r="B616" s="15"/>
      <c r="C616" s="15"/>
      <c r="D616" s="15"/>
      <c r="F616" s="15"/>
      <c r="H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3">
      <c r="A617" s="15"/>
      <c r="B617" s="15"/>
      <c r="C617" s="15"/>
      <c r="D617" s="15"/>
      <c r="F617" s="15"/>
      <c r="H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3">
      <c r="A618" s="15"/>
      <c r="B618" s="15"/>
      <c r="C618" s="15"/>
      <c r="D618" s="15"/>
      <c r="F618" s="15"/>
      <c r="H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3">
      <c r="A619" s="15"/>
      <c r="B619" s="15"/>
      <c r="C619" s="15"/>
      <c r="D619" s="15"/>
      <c r="F619" s="15"/>
      <c r="H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3">
      <c r="A620" s="15"/>
      <c r="B620" s="15"/>
      <c r="C620" s="15"/>
      <c r="D620" s="15"/>
      <c r="F620" s="15"/>
      <c r="H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3">
      <c r="A621" s="15"/>
      <c r="B621" s="15"/>
      <c r="C621" s="15"/>
      <c r="D621" s="15"/>
      <c r="F621" s="15"/>
      <c r="H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3">
      <c r="A622" s="15"/>
      <c r="B622" s="15"/>
      <c r="C622" s="15"/>
      <c r="D622" s="15"/>
      <c r="F622" s="15"/>
      <c r="H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3">
      <c r="A623" s="15"/>
      <c r="B623" s="15"/>
      <c r="C623" s="15"/>
      <c r="D623" s="15"/>
      <c r="F623" s="15"/>
      <c r="H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3">
      <c r="A624" s="15"/>
      <c r="B624" s="15"/>
      <c r="C624" s="15"/>
      <c r="D624" s="15"/>
      <c r="F624" s="15"/>
      <c r="H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3">
      <c r="A625" s="15"/>
      <c r="B625" s="15"/>
      <c r="C625" s="15"/>
      <c r="D625" s="15"/>
      <c r="F625" s="15"/>
      <c r="H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3">
      <c r="A626" s="15"/>
      <c r="B626" s="15"/>
      <c r="C626" s="15"/>
      <c r="D626" s="15"/>
      <c r="F626" s="15"/>
      <c r="H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3">
      <c r="A627" s="15"/>
      <c r="B627" s="15"/>
      <c r="C627" s="15"/>
      <c r="D627" s="15"/>
      <c r="F627" s="15"/>
      <c r="H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3">
      <c r="A628" s="15"/>
      <c r="B628" s="15"/>
      <c r="C628" s="15"/>
      <c r="D628" s="15"/>
      <c r="F628" s="15"/>
      <c r="H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3">
      <c r="A629" s="15"/>
      <c r="B629" s="15"/>
      <c r="C629" s="15"/>
      <c r="D629" s="15"/>
      <c r="F629" s="15"/>
      <c r="H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3">
      <c r="A630" s="15"/>
      <c r="B630" s="15"/>
      <c r="C630" s="15"/>
      <c r="D630" s="15"/>
      <c r="F630" s="15"/>
      <c r="H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3">
      <c r="A631" s="15"/>
      <c r="B631" s="15"/>
      <c r="C631" s="15"/>
      <c r="D631" s="15"/>
      <c r="F631" s="15"/>
      <c r="H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3">
      <c r="A632" s="15"/>
      <c r="B632" s="15"/>
      <c r="C632" s="15"/>
      <c r="D632" s="15"/>
      <c r="F632" s="15"/>
      <c r="H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3">
      <c r="A633" s="15"/>
      <c r="B633" s="15"/>
      <c r="C633" s="15"/>
      <c r="D633" s="15"/>
      <c r="F633" s="15"/>
      <c r="H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3">
      <c r="A634" s="15"/>
      <c r="B634" s="15"/>
      <c r="C634" s="15"/>
      <c r="D634" s="15"/>
      <c r="F634" s="15"/>
      <c r="H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3">
      <c r="A635" s="15"/>
      <c r="B635" s="15"/>
      <c r="C635" s="15"/>
      <c r="D635" s="15"/>
      <c r="F635" s="15"/>
      <c r="H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3">
      <c r="A636" s="15"/>
      <c r="B636" s="15"/>
      <c r="C636" s="15"/>
      <c r="D636" s="15"/>
      <c r="F636" s="15"/>
      <c r="H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3">
      <c r="A637" s="15"/>
      <c r="B637" s="15"/>
      <c r="C637" s="15"/>
      <c r="D637" s="15"/>
      <c r="F637" s="15"/>
      <c r="H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3">
      <c r="A638" s="15"/>
      <c r="B638" s="15"/>
      <c r="C638" s="15"/>
      <c r="D638" s="15"/>
      <c r="F638" s="15"/>
      <c r="H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3">
      <c r="A639" s="15"/>
      <c r="B639" s="15"/>
      <c r="C639" s="15"/>
      <c r="D639" s="15"/>
      <c r="F639" s="15"/>
      <c r="H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3">
      <c r="A640" s="15"/>
      <c r="B640" s="15"/>
      <c r="C640" s="15"/>
      <c r="D640" s="15"/>
      <c r="F640" s="15"/>
      <c r="H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3">
      <c r="A641" s="15"/>
      <c r="B641" s="15"/>
      <c r="C641" s="15"/>
      <c r="D641" s="15"/>
      <c r="F641" s="15"/>
      <c r="H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3">
      <c r="A642" s="15"/>
      <c r="B642" s="15"/>
      <c r="C642" s="15"/>
      <c r="D642" s="15"/>
      <c r="F642" s="15"/>
      <c r="H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3">
      <c r="A643" s="15"/>
      <c r="B643" s="15"/>
      <c r="C643" s="15"/>
      <c r="D643" s="15"/>
      <c r="F643" s="15"/>
      <c r="H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3">
      <c r="A644" s="15"/>
      <c r="B644" s="15"/>
      <c r="C644" s="15"/>
      <c r="D644" s="15"/>
      <c r="F644" s="15"/>
      <c r="H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3">
      <c r="A645" s="15"/>
      <c r="B645" s="15"/>
      <c r="C645" s="15"/>
      <c r="D645" s="15"/>
      <c r="F645" s="15"/>
      <c r="H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3">
      <c r="A646" s="15"/>
      <c r="B646" s="15"/>
      <c r="C646" s="15"/>
      <c r="D646" s="15"/>
      <c r="F646" s="15"/>
      <c r="H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3">
      <c r="A647" s="15"/>
      <c r="B647" s="15"/>
      <c r="C647" s="15"/>
      <c r="D647" s="15"/>
      <c r="F647" s="15"/>
      <c r="H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3">
      <c r="A648" s="15"/>
      <c r="B648" s="15"/>
      <c r="C648" s="15"/>
      <c r="D648" s="15"/>
      <c r="F648" s="15"/>
      <c r="H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3">
      <c r="A649" s="15"/>
      <c r="B649" s="15"/>
      <c r="C649" s="15"/>
      <c r="D649" s="15"/>
      <c r="F649" s="15"/>
      <c r="H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3">
      <c r="A650" s="15"/>
      <c r="B650" s="15"/>
      <c r="C650" s="15"/>
      <c r="D650" s="15"/>
      <c r="F650" s="15"/>
      <c r="H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3">
      <c r="A651" s="15"/>
      <c r="B651" s="15"/>
      <c r="C651" s="15"/>
      <c r="D651" s="15"/>
      <c r="F651" s="15"/>
      <c r="H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3">
      <c r="A652" s="15"/>
      <c r="B652" s="15"/>
      <c r="C652" s="15"/>
      <c r="D652" s="15"/>
      <c r="F652" s="15"/>
      <c r="H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3">
      <c r="A653" s="15"/>
      <c r="B653" s="15"/>
      <c r="C653" s="15"/>
      <c r="D653" s="15"/>
      <c r="F653" s="15"/>
      <c r="H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3">
      <c r="A654" s="15"/>
      <c r="B654" s="15"/>
      <c r="C654" s="15"/>
      <c r="D654" s="15"/>
      <c r="F654" s="15"/>
      <c r="H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3">
      <c r="A655" s="15"/>
      <c r="B655" s="15"/>
      <c r="C655" s="15"/>
      <c r="D655" s="15"/>
      <c r="F655" s="15"/>
      <c r="H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3">
      <c r="A656" s="15"/>
      <c r="B656" s="15"/>
      <c r="C656" s="15"/>
      <c r="D656" s="15"/>
      <c r="F656" s="15"/>
      <c r="H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3">
      <c r="A657" s="15"/>
      <c r="B657" s="15"/>
      <c r="C657" s="15"/>
      <c r="D657" s="15"/>
      <c r="F657" s="15"/>
      <c r="H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3">
      <c r="A658" s="15"/>
      <c r="B658" s="15"/>
      <c r="C658" s="15"/>
      <c r="D658" s="15"/>
      <c r="F658" s="15"/>
      <c r="H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3">
      <c r="A659" s="15"/>
      <c r="B659" s="15"/>
      <c r="C659" s="15"/>
      <c r="D659" s="15"/>
      <c r="F659" s="15"/>
      <c r="H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3">
      <c r="A660" s="15"/>
      <c r="B660" s="15"/>
      <c r="C660" s="15"/>
      <c r="D660" s="15"/>
      <c r="F660" s="15"/>
      <c r="H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3">
      <c r="A661" s="15"/>
      <c r="B661" s="15"/>
      <c r="C661" s="15"/>
      <c r="D661" s="15"/>
      <c r="F661" s="15"/>
      <c r="H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3">
      <c r="A662" s="15"/>
      <c r="B662" s="15"/>
      <c r="C662" s="15"/>
      <c r="D662" s="15"/>
      <c r="F662" s="15"/>
      <c r="H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3">
      <c r="A663" s="15"/>
      <c r="B663" s="15"/>
      <c r="C663" s="15"/>
      <c r="D663" s="15"/>
      <c r="F663" s="15"/>
      <c r="H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3">
      <c r="A664" s="15"/>
      <c r="B664" s="15"/>
      <c r="C664" s="15"/>
      <c r="D664" s="15"/>
      <c r="F664" s="15"/>
      <c r="H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3">
      <c r="A665" s="15"/>
      <c r="B665" s="15"/>
      <c r="C665" s="15"/>
      <c r="D665" s="15"/>
      <c r="F665" s="15"/>
      <c r="H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3">
      <c r="A666" s="15"/>
      <c r="B666" s="15"/>
      <c r="C666" s="15"/>
      <c r="D666" s="15"/>
      <c r="F666" s="15"/>
      <c r="H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3">
      <c r="A667" s="15"/>
      <c r="B667" s="15"/>
      <c r="C667" s="15"/>
      <c r="D667" s="15"/>
      <c r="F667" s="15"/>
      <c r="H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3">
      <c r="A668" s="15"/>
      <c r="B668" s="15"/>
      <c r="C668" s="15"/>
      <c r="D668" s="15"/>
      <c r="F668" s="15"/>
      <c r="H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3">
      <c r="A669" s="15"/>
      <c r="B669" s="15"/>
      <c r="C669" s="15"/>
      <c r="D669" s="15"/>
      <c r="F669" s="15"/>
      <c r="H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3">
      <c r="A670" s="15"/>
      <c r="B670" s="15"/>
      <c r="C670" s="15"/>
      <c r="D670" s="15"/>
      <c r="F670" s="15"/>
      <c r="H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3">
      <c r="A671" s="15"/>
      <c r="B671" s="15"/>
      <c r="C671" s="15"/>
      <c r="D671" s="15"/>
      <c r="F671" s="15"/>
      <c r="H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3">
      <c r="A672" s="15"/>
      <c r="B672" s="15"/>
      <c r="C672" s="15"/>
      <c r="D672" s="15"/>
      <c r="F672" s="15"/>
      <c r="H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3">
      <c r="A673" s="15"/>
      <c r="B673" s="15"/>
      <c r="C673" s="15"/>
      <c r="D673" s="15"/>
      <c r="F673" s="15"/>
      <c r="H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3">
      <c r="A674" s="15"/>
      <c r="B674" s="15"/>
      <c r="C674" s="15"/>
      <c r="D674" s="15"/>
      <c r="F674" s="15"/>
      <c r="H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3">
      <c r="A675" s="15"/>
      <c r="B675" s="15"/>
      <c r="C675" s="15"/>
      <c r="D675" s="15"/>
      <c r="F675" s="15"/>
      <c r="H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3">
      <c r="A676" s="15"/>
      <c r="B676" s="15"/>
      <c r="C676" s="15"/>
      <c r="D676" s="15"/>
      <c r="F676" s="15"/>
      <c r="H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3">
      <c r="A677" s="15"/>
      <c r="B677" s="15"/>
      <c r="C677" s="15"/>
      <c r="D677" s="15"/>
      <c r="F677" s="15"/>
      <c r="H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3">
      <c r="A678" s="15"/>
      <c r="B678" s="15"/>
      <c r="C678" s="15"/>
      <c r="D678" s="15"/>
      <c r="F678" s="15"/>
      <c r="H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3">
      <c r="A679" s="15"/>
      <c r="B679" s="15"/>
      <c r="C679" s="15"/>
      <c r="D679" s="15"/>
      <c r="F679" s="15"/>
      <c r="H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3">
      <c r="A680" s="15"/>
      <c r="B680" s="15"/>
      <c r="C680" s="15"/>
      <c r="D680" s="15"/>
      <c r="F680" s="15"/>
      <c r="H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3">
      <c r="A681" s="15"/>
      <c r="B681" s="15"/>
      <c r="C681" s="15"/>
      <c r="D681" s="15"/>
      <c r="F681" s="15"/>
      <c r="H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3">
      <c r="A682" s="15"/>
      <c r="B682" s="15"/>
      <c r="C682" s="15"/>
      <c r="D682" s="15"/>
      <c r="F682" s="15"/>
      <c r="H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3">
      <c r="A683" s="15"/>
      <c r="B683" s="15"/>
      <c r="C683" s="15"/>
      <c r="D683" s="15"/>
      <c r="F683" s="15"/>
      <c r="H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3">
      <c r="A684" s="15"/>
      <c r="B684" s="15"/>
      <c r="C684" s="15"/>
      <c r="D684" s="15"/>
      <c r="F684" s="15"/>
      <c r="H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3">
      <c r="A685" s="15"/>
      <c r="B685" s="15"/>
      <c r="C685" s="15"/>
      <c r="D685" s="15"/>
      <c r="F685" s="15"/>
      <c r="H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3">
      <c r="A686" s="15"/>
      <c r="B686" s="15"/>
      <c r="C686" s="15"/>
      <c r="D686" s="15"/>
      <c r="F686" s="15"/>
      <c r="H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3">
      <c r="A687" s="15"/>
      <c r="B687" s="15"/>
      <c r="C687" s="15"/>
      <c r="D687" s="15"/>
      <c r="F687" s="15"/>
      <c r="H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3">
      <c r="A688" s="15"/>
      <c r="B688" s="15"/>
      <c r="C688" s="15"/>
      <c r="D688" s="15"/>
      <c r="F688" s="15"/>
      <c r="H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3">
      <c r="A689" s="15"/>
      <c r="B689" s="15"/>
      <c r="C689" s="15"/>
      <c r="D689" s="15"/>
      <c r="F689" s="15"/>
      <c r="H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3">
      <c r="A690" s="15"/>
      <c r="B690" s="15"/>
      <c r="C690" s="15"/>
      <c r="D690" s="15"/>
      <c r="F690" s="15"/>
      <c r="H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3">
      <c r="A691" s="15"/>
      <c r="B691" s="15"/>
      <c r="C691" s="15"/>
      <c r="D691" s="15"/>
      <c r="F691" s="15"/>
      <c r="H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3">
      <c r="A692" s="15"/>
      <c r="B692" s="15"/>
      <c r="C692" s="15"/>
      <c r="D692" s="15"/>
      <c r="F692" s="15"/>
      <c r="H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3">
      <c r="A693" s="15"/>
      <c r="B693" s="15"/>
      <c r="C693" s="15"/>
      <c r="D693" s="15"/>
      <c r="F693" s="15"/>
      <c r="H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3">
      <c r="A694" s="15"/>
      <c r="B694" s="15"/>
      <c r="C694" s="15"/>
      <c r="D694" s="15"/>
      <c r="F694" s="15"/>
      <c r="H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3">
      <c r="A695" s="15"/>
      <c r="B695" s="15"/>
      <c r="C695" s="15"/>
      <c r="D695" s="15"/>
      <c r="F695" s="15"/>
      <c r="H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3">
      <c r="A696" s="15"/>
      <c r="B696" s="15"/>
      <c r="C696" s="15"/>
      <c r="D696" s="15"/>
      <c r="F696" s="15"/>
      <c r="H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3">
      <c r="A697" s="15"/>
      <c r="B697" s="15"/>
      <c r="C697" s="15"/>
      <c r="D697" s="15"/>
      <c r="F697" s="15"/>
      <c r="H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3">
      <c r="A698" s="15"/>
      <c r="B698" s="15"/>
      <c r="C698" s="15"/>
      <c r="D698" s="15"/>
      <c r="F698" s="15"/>
      <c r="H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3">
      <c r="A699" s="15"/>
      <c r="B699" s="15"/>
      <c r="C699" s="15"/>
      <c r="D699" s="15"/>
      <c r="F699" s="15"/>
      <c r="H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3">
      <c r="A700" s="15"/>
      <c r="B700" s="15"/>
      <c r="C700" s="15"/>
      <c r="D700" s="15"/>
      <c r="F700" s="15"/>
      <c r="H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3">
      <c r="A701" s="15"/>
      <c r="B701" s="15"/>
      <c r="C701" s="15"/>
      <c r="D701" s="15"/>
      <c r="F701" s="15"/>
      <c r="H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3">
      <c r="A702" s="15"/>
      <c r="B702" s="15"/>
      <c r="C702" s="15"/>
      <c r="D702" s="15"/>
      <c r="F702" s="15"/>
      <c r="H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3">
      <c r="A703" s="15"/>
      <c r="B703" s="15"/>
      <c r="C703" s="15"/>
      <c r="D703" s="15"/>
      <c r="F703" s="15"/>
      <c r="H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3">
      <c r="A704" s="15"/>
      <c r="B704" s="15"/>
      <c r="C704" s="15"/>
      <c r="D704" s="15"/>
      <c r="F704" s="15"/>
      <c r="H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3">
      <c r="A705" s="15"/>
      <c r="B705" s="15"/>
      <c r="C705" s="15"/>
      <c r="D705" s="15"/>
      <c r="F705" s="15"/>
      <c r="H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3">
      <c r="A706" s="15"/>
      <c r="B706" s="15"/>
      <c r="C706" s="15"/>
      <c r="D706" s="15"/>
      <c r="F706" s="15"/>
      <c r="H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3">
      <c r="A707" s="15"/>
      <c r="B707" s="15"/>
      <c r="C707" s="15"/>
      <c r="D707" s="15"/>
      <c r="F707" s="15"/>
      <c r="H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3">
      <c r="A708" s="15"/>
      <c r="B708" s="15"/>
      <c r="C708" s="15"/>
      <c r="D708" s="15"/>
      <c r="F708" s="15"/>
      <c r="H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3">
      <c r="A709" s="15"/>
      <c r="B709" s="15"/>
      <c r="C709" s="15"/>
      <c r="D709" s="15"/>
      <c r="F709" s="15"/>
      <c r="H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3">
      <c r="A710" s="15"/>
      <c r="B710" s="15"/>
      <c r="C710" s="15"/>
      <c r="D710" s="15"/>
      <c r="F710" s="15"/>
      <c r="H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3">
      <c r="A711" s="15"/>
      <c r="B711" s="15"/>
      <c r="C711" s="15"/>
      <c r="D711" s="15"/>
      <c r="F711" s="15"/>
      <c r="H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3">
      <c r="A712" s="15"/>
      <c r="B712" s="15"/>
      <c r="C712" s="15"/>
      <c r="D712" s="15"/>
      <c r="F712" s="15"/>
      <c r="H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3">
      <c r="A713" s="15"/>
      <c r="B713" s="15"/>
      <c r="C713" s="15"/>
      <c r="D713" s="15"/>
      <c r="F713" s="15"/>
      <c r="H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3">
      <c r="A714" s="15"/>
      <c r="B714" s="15"/>
      <c r="C714" s="15"/>
      <c r="D714" s="15"/>
      <c r="F714" s="15"/>
      <c r="H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3">
      <c r="A715" s="15"/>
      <c r="B715" s="15"/>
      <c r="C715" s="15"/>
      <c r="D715" s="15"/>
      <c r="F715" s="15"/>
      <c r="H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3">
      <c r="A716" s="15"/>
      <c r="B716" s="15"/>
      <c r="C716" s="15"/>
      <c r="D716" s="15"/>
      <c r="F716" s="15"/>
      <c r="H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3">
      <c r="A717" s="15"/>
      <c r="B717" s="15"/>
      <c r="C717" s="15"/>
      <c r="D717" s="15"/>
      <c r="F717" s="15"/>
      <c r="H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3">
      <c r="A718" s="15"/>
      <c r="B718" s="15"/>
      <c r="C718" s="15"/>
      <c r="D718" s="15"/>
      <c r="F718" s="15"/>
      <c r="H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3">
      <c r="A719" s="15"/>
      <c r="B719" s="15"/>
      <c r="C719" s="15"/>
      <c r="D719" s="15"/>
      <c r="F719" s="15"/>
      <c r="H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3">
      <c r="A720" s="15"/>
      <c r="B720" s="15"/>
      <c r="C720" s="15"/>
      <c r="D720" s="15"/>
      <c r="F720" s="15"/>
      <c r="H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3">
      <c r="A721" s="15"/>
      <c r="B721" s="15"/>
      <c r="C721" s="15"/>
      <c r="D721" s="15"/>
      <c r="F721" s="15"/>
      <c r="H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3">
      <c r="A722" s="15"/>
      <c r="B722" s="15"/>
      <c r="C722" s="15"/>
      <c r="D722" s="15"/>
      <c r="F722" s="15"/>
      <c r="H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3">
      <c r="A723" s="15"/>
      <c r="B723" s="15"/>
      <c r="C723" s="15"/>
      <c r="D723" s="15"/>
      <c r="F723" s="15"/>
      <c r="H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3">
      <c r="A724" s="15"/>
      <c r="B724" s="15"/>
      <c r="C724" s="15"/>
      <c r="D724" s="15"/>
      <c r="F724" s="15"/>
      <c r="H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3">
      <c r="A725" s="15"/>
      <c r="B725" s="15"/>
      <c r="C725" s="15"/>
      <c r="D725" s="15"/>
      <c r="F725" s="15"/>
      <c r="H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3">
      <c r="A726" s="15"/>
      <c r="B726" s="15"/>
      <c r="C726" s="15"/>
      <c r="D726" s="15"/>
      <c r="F726" s="15"/>
      <c r="H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3">
      <c r="A727" s="15"/>
      <c r="B727" s="15"/>
      <c r="C727" s="15"/>
      <c r="D727" s="15"/>
      <c r="F727" s="15"/>
      <c r="H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3">
      <c r="A728" s="15"/>
      <c r="B728" s="15"/>
      <c r="C728" s="15"/>
      <c r="D728" s="15"/>
      <c r="F728" s="15"/>
      <c r="H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3">
      <c r="A729" s="15"/>
      <c r="B729" s="15"/>
      <c r="C729" s="15"/>
      <c r="D729" s="15"/>
      <c r="F729" s="15"/>
      <c r="H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3">
      <c r="A730" s="15"/>
      <c r="B730" s="15"/>
      <c r="C730" s="15"/>
      <c r="D730" s="15"/>
      <c r="F730" s="15"/>
      <c r="H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3">
      <c r="A731" s="15"/>
      <c r="B731" s="15"/>
      <c r="C731" s="15"/>
      <c r="D731" s="15"/>
      <c r="F731" s="15"/>
      <c r="H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3">
      <c r="A732" s="15"/>
      <c r="B732" s="15"/>
      <c r="C732" s="15"/>
      <c r="D732" s="15"/>
      <c r="F732" s="15"/>
      <c r="H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3">
      <c r="A733" s="15"/>
      <c r="B733" s="15"/>
      <c r="C733" s="15"/>
      <c r="D733" s="15"/>
      <c r="F733" s="15"/>
      <c r="H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3">
      <c r="A734" s="15"/>
      <c r="B734" s="15"/>
      <c r="C734" s="15"/>
      <c r="D734" s="15"/>
      <c r="F734" s="15"/>
      <c r="H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3">
      <c r="A735" s="15"/>
      <c r="B735" s="15"/>
      <c r="C735" s="15"/>
      <c r="D735" s="15"/>
      <c r="F735" s="15"/>
      <c r="H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3">
      <c r="A736" s="15"/>
      <c r="B736" s="15"/>
      <c r="C736" s="15"/>
      <c r="D736" s="15"/>
      <c r="F736" s="15"/>
      <c r="H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3">
      <c r="A737" s="15"/>
      <c r="B737" s="15"/>
      <c r="C737" s="15"/>
      <c r="D737" s="15"/>
      <c r="F737" s="15"/>
      <c r="H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3">
      <c r="A738" s="15"/>
      <c r="B738" s="15"/>
      <c r="C738" s="15"/>
      <c r="D738" s="15"/>
      <c r="F738" s="15"/>
      <c r="H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3">
      <c r="A739" s="15"/>
      <c r="B739" s="15"/>
      <c r="C739" s="15"/>
      <c r="D739" s="15"/>
      <c r="F739" s="15"/>
      <c r="H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3">
      <c r="A740" s="15"/>
      <c r="B740" s="15"/>
      <c r="C740" s="15"/>
      <c r="D740" s="15"/>
      <c r="F740" s="15"/>
      <c r="H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3">
      <c r="A741" s="15"/>
      <c r="B741" s="15"/>
      <c r="C741" s="15"/>
      <c r="D741" s="15"/>
      <c r="F741" s="15"/>
      <c r="H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3">
      <c r="A742" s="15"/>
      <c r="B742" s="15"/>
      <c r="C742" s="15"/>
      <c r="D742" s="15"/>
      <c r="F742" s="15"/>
      <c r="H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3">
      <c r="A743" s="15"/>
      <c r="B743" s="15"/>
      <c r="C743" s="15"/>
      <c r="D743" s="15"/>
      <c r="F743" s="15"/>
      <c r="H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3">
      <c r="A744" s="15"/>
      <c r="B744" s="15"/>
      <c r="C744" s="15"/>
      <c r="D744" s="15"/>
      <c r="F744" s="15"/>
      <c r="H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3">
      <c r="A745" s="15"/>
      <c r="B745" s="15"/>
      <c r="C745" s="15"/>
      <c r="D745" s="15"/>
      <c r="F745" s="15"/>
      <c r="H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3">
      <c r="A746" s="15"/>
      <c r="B746" s="15"/>
      <c r="C746" s="15"/>
      <c r="D746" s="15"/>
      <c r="F746" s="15"/>
      <c r="H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3">
      <c r="A747" s="15"/>
      <c r="B747" s="15"/>
      <c r="C747" s="15"/>
      <c r="D747" s="15"/>
      <c r="F747" s="15"/>
      <c r="H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3">
      <c r="A748" s="15"/>
      <c r="B748" s="15"/>
      <c r="C748" s="15"/>
      <c r="D748" s="15"/>
      <c r="F748" s="15"/>
      <c r="H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3">
      <c r="A749" s="15"/>
      <c r="B749" s="15"/>
      <c r="C749" s="15"/>
      <c r="D749" s="15"/>
      <c r="F749" s="15"/>
      <c r="H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3">
      <c r="A750" s="15"/>
      <c r="B750" s="15"/>
      <c r="C750" s="15"/>
      <c r="D750" s="15"/>
      <c r="F750" s="15"/>
      <c r="H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3">
      <c r="A751" s="15"/>
      <c r="B751" s="15"/>
      <c r="C751" s="15"/>
      <c r="D751" s="15"/>
      <c r="F751" s="15"/>
      <c r="H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3">
      <c r="A752" s="15"/>
      <c r="B752" s="15"/>
      <c r="C752" s="15"/>
      <c r="D752" s="15"/>
      <c r="F752" s="15"/>
      <c r="H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3">
      <c r="A753" s="15"/>
      <c r="B753" s="15"/>
      <c r="C753" s="15"/>
      <c r="D753" s="15"/>
      <c r="F753" s="15"/>
      <c r="H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3">
      <c r="A754" s="15"/>
      <c r="B754" s="15"/>
      <c r="C754" s="15"/>
      <c r="D754" s="15"/>
      <c r="F754" s="15"/>
      <c r="H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3">
      <c r="A755" s="15"/>
      <c r="B755" s="15"/>
      <c r="C755" s="15"/>
      <c r="D755" s="15"/>
      <c r="F755" s="15"/>
      <c r="H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3">
      <c r="A756" s="15"/>
      <c r="B756" s="15"/>
      <c r="C756" s="15"/>
      <c r="D756" s="15"/>
      <c r="F756" s="15"/>
      <c r="H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3">
      <c r="A757" s="15"/>
      <c r="B757" s="15"/>
      <c r="C757" s="15"/>
      <c r="D757" s="15"/>
      <c r="F757" s="15"/>
      <c r="H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3">
      <c r="A758" s="15"/>
      <c r="B758" s="15"/>
      <c r="C758" s="15"/>
      <c r="D758" s="15"/>
      <c r="F758" s="15"/>
      <c r="H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3">
      <c r="A759" s="15"/>
      <c r="B759" s="15"/>
      <c r="C759" s="15"/>
      <c r="D759" s="15"/>
      <c r="F759" s="15"/>
      <c r="H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3">
      <c r="A760" s="15"/>
      <c r="B760" s="15"/>
      <c r="C760" s="15"/>
      <c r="D760" s="15"/>
      <c r="F760" s="15"/>
      <c r="H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3">
      <c r="A761" s="15"/>
      <c r="B761" s="15"/>
      <c r="C761" s="15"/>
      <c r="D761" s="15"/>
      <c r="F761" s="15"/>
      <c r="H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3">
      <c r="A762" s="15"/>
      <c r="B762" s="15"/>
      <c r="C762" s="15"/>
      <c r="D762" s="15"/>
      <c r="F762" s="15"/>
      <c r="H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3">
      <c r="A763" s="15"/>
      <c r="B763" s="15"/>
      <c r="C763" s="15"/>
      <c r="D763" s="15"/>
      <c r="F763" s="15"/>
      <c r="H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3">
      <c r="A764" s="15"/>
      <c r="B764" s="15"/>
      <c r="C764" s="15"/>
      <c r="D764" s="15"/>
      <c r="F764" s="15"/>
      <c r="H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3">
      <c r="A765" s="15"/>
      <c r="B765" s="15"/>
      <c r="C765" s="15"/>
      <c r="D765" s="15"/>
      <c r="F765" s="15"/>
      <c r="H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3">
      <c r="A766" s="15"/>
      <c r="B766" s="15"/>
      <c r="C766" s="15"/>
      <c r="D766" s="15"/>
      <c r="F766" s="15"/>
      <c r="H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3">
      <c r="A767" s="15"/>
      <c r="B767" s="15"/>
      <c r="C767" s="15"/>
      <c r="D767" s="15"/>
      <c r="F767" s="15"/>
      <c r="H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3">
      <c r="A768" s="15"/>
      <c r="B768" s="15"/>
      <c r="C768" s="15"/>
      <c r="D768" s="15"/>
      <c r="F768" s="15"/>
      <c r="H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3">
      <c r="A769" s="15"/>
      <c r="B769" s="15"/>
      <c r="C769" s="15"/>
      <c r="D769" s="15"/>
      <c r="F769" s="15"/>
      <c r="H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3">
      <c r="A770" s="15"/>
      <c r="B770" s="15"/>
      <c r="C770" s="15"/>
      <c r="D770" s="15"/>
      <c r="F770" s="15"/>
      <c r="H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3">
      <c r="A771" s="15"/>
      <c r="B771" s="15"/>
      <c r="C771" s="15"/>
      <c r="D771" s="15"/>
      <c r="F771" s="15"/>
      <c r="H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3">
      <c r="A772" s="15"/>
      <c r="B772" s="15"/>
      <c r="C772" s="15"/>
      <c r="D772" s="15"/>
      <c r="F772" s="15"/>
      <c r="H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3">
      <c r="A773" s="15"/>
      <c r="B773" s="15"/>
      <c r="C773" s="15"/>
      <c r="D773" s="15"/>
      <c r="F773" s="15"/>
      <c r="H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3">
      <c r="A774" s="15"/>
      <c r="B774" s="15"/>
      <c r="C774" s="15"/>
      <c r="D774" s="15"/>
      <c r="F774" s="15"/>
      <c r="H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3">
      <c r="A775" s="15"/>
      <c r="B775" s="15"/>
      <c r="C775" s="15"/>
      <c r="D775" s="15"/>
      <c r="F775" s="15"/>
      <c r="H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3">
      <c r="A776" s="15"/>
      <c r="B776" s="15"/>
      <c r="C776" s="15"/>
      <c r="D776" s="15"/>
      <c r="F776" s="15"/>
      <c r="H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3">
      <c r="A777" s="15"/>
      <c r="B777" s="15"/>
      <c r="C777" s="15"/>
      <c r="D777" s="15"/>
      <c r="F777" s="15"/>
      <c r="H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3">
      <c r="A778" s="15"/>
      <c r="B778" s="15"/>
      <c r="C778" s="15"/>
      <c r="D778" s="15"/>
      <c r="F778" s="15"/>
      <c r="H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3">
      <c r="A779" s="15"/>
      <c r="B779" s="15"/>
      <c r="C779" s="15"/>
      <c r="D779" s="15"/>
      <c r="F779" s="15"/>
      <c r="H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3">
      <c r="A780" s="15"/>
      <c r="B780" s="15"/>
      <c r="C780" s="15"/>
      <c r="D780" s="15"/>
      <c r="F780" s="15"/>
      <c r="H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3">
      <c r="A781" s="15"/>
      <c r="B781" s="15"/>
      <c r="C781" s="15"/>
      <c r="D781" s="15"/>
      <c r="F781" s="15"/>
      <c r="H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3">
      <c r="A782" s="15"/>
      <c r="B782" s="15"/>
      <c r="C782" s="15"/>
      <c r="D782" s="15"/>
      <c r="F782" s="15"/>
      <c r="H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3">
      <c r="A783" s="15"/>
      <c r="B783" s="15"/>
      <c r="C783" s="15"/>
      <c r="D783" s="15"/>
      <c r="F783" s="15"/>
      <c r="H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3">
      <c r="A784" s="15"/>
      <c r="B784" s="15"/>
      <c r="C784" s="15"/>
      <c r="D784" s="15"/>
      <c r="F784" s="15"/>
      <c r="H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3">
      <c r="A785" s="15"/>
      <c r="B785" s="15"/>
      <c r="C785" s="15"/>
      <c r="D785" s="15"/>
      <c r="F785" s="15"/>
      <c r="H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3">
      <c r="A786" s="15"/>
      <c r="B786" s="15"/>
      <c r="C786" s="15"/>
      <c r="D786" s="15"/>
      <c r="F786" s="15"/>
      <c r="H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3">
      <c r="A787" s="15"/>
      <c r="B787" s="15"/>
      <c r="C787" s="15"/>
      <c r="D787" s="15"/>
      <c r="F787" s="15"/>
      <c r="H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3">
      <c r="A788" s="15"/>
      <c r="B788" s="15"/>
      <c r="C788" s="15"/>
      <c r="D788" s="15"/>
      <c r="F788" s="15"/>
      <c r="H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3">
      <c r="A789" s="15"/>
      <c r="B789" s="15"/>
      <c r="C789" s="15"/>
      <c r="D789" s="15"/>
      <c r="F789" s="15"/>
      <c r="H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3">
      <c r="A790" s="15"/>
      <c r="B790" s="15"/>
      <c r="C790" s="15"/>
      <c r="D790" s="15"/>
      <c r="F790" s="15"/>
      <c r="H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3">
      <c r="A791" s="15"/>
      <c r="B791" s="15"/>
      <c r="C791" s="15"/>
      <c r="D791" s="15"/>
      <c r="F791" s="15"/>
      <c r="H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3">
      <c r="A792" s="15"/>
      <c r="B792" s="15"/>
      <c r="C792" s="15"/>
      <c r="D792" s="15"/>
      <c r="F792" s="15"/>
      <c r="H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3">
      <c r="A793" s="15"/>
      <c r="B793" s="15"/>
      <c r="C793" s="15"/>
      <c r="D793" s="15"/>
      <c r="F793" s="15"/>
      <c r="H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3">
      <c r="A794" s="15"/>
      <c r="B794" s="15"/>
      <c r="C794" s="15"/>
      <c r="D794" s="15"/>
      <c r="F794" s="15"/>
      <c r="H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3">
      <c r="A795" s="15"/>
      <c r="B795" s="15"/>
      <c r="C795" s="15"/>
      <c r="D795" s="15"/>
      <c r="F795" s="15"/>
      <c r="H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3">
      <c r="A796" s="15"/>
      <c r="B796" s="15"/>
      <c r="C796" s="15"/>
      <c r="D796" s="15"/>
      <c r="F796" s="15"/>
      <c r="H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3">
      <c r="A797" s="15"/>
      <c r="B797" s="15"/>
      <c r="C797" s="15"/>
      <c r="D797" s="15"/>
      <c r="F797" s="15"/>
      <c r="H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3">
      <c r="A798" s="15"/>
      <c r="B798" s="15"/>
      <c r="C798" s="15"/>
      <c r="D798" s="15"/>
      <c r="F798" s="15"/>
      <c r="H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3">
      <c r="A799" s="15"/>
      <c r="B799" s="15"/>
      <c r="C799" s="15"/>
      <c r="D799" s="15"/>
      <c r="F799" s="15"/>
      <c r="H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3">
      <c r="A800" s="15"/>
      <c r="B800" s="15"/>
      <c r="C800" s="15"/>
      <c r="D800" s="15"/>
      <c r="F800" s="15"/>
      <c r="H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3">
      <c r="A801" s="15"/>
      <c r="B801" s="15"/>
      <c r="C801" s="15"/>
      <c r="D801" s="15"/>
      <c r="F801" s="15"/>
      <c r="H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3">
      <c r="A802" s="15"/>
      <c r="B802" s="15"/>
      <c r="C802" s="15"/>
      <c r="D802" s="15"/>
      <c r="F802" s="15"/>
      <c r="H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3">
      <c r="A803" s="15"/>
      <c r="B803" s="15"/>
      <c r="C803" s="15"/>
      <c r="D803" s="15"/>
      <c r="F803" s="15"/>
      <c r="H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3">
      <c r="A804" s="15"/>
      <c r="B804" s="15"/>
      <c r="C804" s="15"/>
      <c r="D804" s="15"/>
      <c r="F804" s="15"/>
      <c r="H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3">
      <c r="A805" s="15"/>
      <c r="B805" s="15"/>
      <c r="C805" s="15"/>
      <c r="D805" s="15"/>
      <c r="F805" s="15"/>
      <c r="H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3">
      <c r="A806" s="15"/>
      <c r="B806" s="15"/>
      <c r="C806" s="15"/>
      <c r="D806" s="15"/>
      <c r="F806" s="15"/>
      <c r="H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3">
      <c r="A807" s="15"/>
      <c r="B807" s="15"/>
      <c r="C807" s="15"/>
      <c r="D807" s="15"/>
      <c r="F807" s="15"/>
      <c r="H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3">
      <c r="A808" s="15"/>
      <c r="B808" s="15"/>
      <c r="C808" s="15"/>
      <c r="D808" s="15"/>
      <c r="F808" s="15"/>
      <c r="H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3">
      <c r="A809" s="15"/>
      <c r="B809" s="15"/>
      <c r="C809" s="15"/>
      <c r="D809" s="15"/>
      <c r="F809" s="15"/>
      <c r="H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3">
      <c r="A810" s="15"/>
      <c r="B810" s="15"/>
      <c r="C810" s="15"/>
      <c r="D810" s="15"/>
      <c r="F810" s="15"/>
      <c r="H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3">
      <c r="A811" s="15"/>
      <c r="B811" s="15"/>
      <c r="C811" s="15"/>
      <c r="D811" s="15"/>
      <c r="F811" s="15"/>
      <c r="H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3">
      <c r="A812" s="15"/>
      <c r="B812" s="15"/>
      <c r="C812" s="15"/>
      <c r="D812" s="15"/>
      <c r="F812" s="15"/>
      <c r="H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3">
      <c r="A813" s="15"/>
      <c r="B813" s="15"/>
      <c r="C813" s="15"/>
      <c r="D813" s="15"/>
      <c r="F813" s="15"/>
      <c r="H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3">
      <c r="A814" s="15"/>
      <c r="B814" s="15"/>
      <c r="C814" s="15"/>
      <c r="D814" s="15"/>
      <c r="F814" s="15"/>
      <c r="H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3">
      <c r="A815" s="15"/>
      <c r="B815" s="15"/>
      <c r="C815" s="15"/>
      <c r="D815" s="15"/>
      <c r="F815" s="15"/>
      <c r="H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3">
      <c r="A816" s="15"/>
      <c r="B816" s="15"/>
      <c r="C816" s="15"/>
      <c r="D816" s="15"/>
      <c r="F816" s="15"/>
      <c r="H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3">
      <c r="A817" s="15"/>
      <c r="B817" s="15"/>
      <c r="C817" s="15"/>
      <c r="D817" s="15"/>
      <c r="F817" s="15"/>
      <c r="H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3">
      <c r="A818" s="15"/>
      <c r="B818" s="15"/>
      <c r="C818" s="15"/>
      <c r="D818" s="15"/>
      <c r="F818" s="15"/>
      <c r="H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3">
      <c r="A819" s="15"/>
      <c r="B819" s="15"/>
      <c r="C819" s="15"/>
      <c r="D819" s="15"/>
      <c r="F819" s="15"/>
      <c r="H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3">
      <c r="A820" s="15"/>
      <c r="B820" s="15"/>
      <c r="C820" s="15"/>
      <c r="D820" s="15"/>
      <c r="F820" s="15"/>
      <c r="H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3">
      <c r="A821" s="15"/>
      <c r="B821" s="15"/>
      <c r="C821" s="15"/>
      <c r="D821" s="15"/>
      <c r="F821" s="15"/>
      <c r="H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3">
      <c r="A822" s="15"/>
      <c r="B822" s="15"/>
      <c r="C822" s="15"/>
      <c r="D822" s="15"/>
      <c r="F822" s="15"/>
      <c r="H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3">
      <c r="A823" s="15"/>
      <c r="B823" s="15"/>
      <c r="C823" s="15"/>
      <c r="D823" s="15"/>
      <c r="F823" s="15"/>
      <c r="H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3">
      <c r="A824" s="15"/>
      <c r="B824" s="15"/>
      <c r="C824" s="15"/>
      <c r="D824" s="15"/>
      <c r="F824" s="15"/>
      <c r="H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3">
      <c r="A825" s="15"/>
      <c r="B825" s="15"/>
      <c r="C825" s="15"/>
      <c r="D825" s="15"/>
      <c r="F825" s="15"/>
      <c r="H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3">
      <c r="A826" s="15"/>
      <c r="B826" s="15"/>
      <c r="C826" s="15"/>
      <c r="D826" s="15"/>
      <c r="F826" s="15"/>
      <c r="H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3">
      <c r="A827" s="15"/>
      <c r="B827" s="15"/>
      <c r="C827" s="15"/>
      <c r="D827" s="15"/>
      <c r="F827" s="15"/>
      <c r="H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3">
      <c r="A828" s="15"/>
      <c r="B828" s="15"/>
      <c r="C828" s="15"/>
      <c r="D828" s="15"/>
      <c r="F828" s="15"/>
      <c r="H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3">
      <c r="A829" s="15"/>
      <c r="B829" s="15"/>
      <c r="C829" s="15"/>
      <c r="D829" s="15"/>
      <c r="F829" s="15"/>
      <c r="H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3">
      <c r="A830" s="15"/>
      <c r="B830" s="15"/>
      <c r="C830" s="15"/>
      <c r="D830" s="15"/>
      <c r="F830" s="15"/>
      <c r="H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3">
      <c r="A831" s="15"/>
      <c r="B831" s="15"/>
      <c r="C831" s="15"/>
      <c r="D831" s="15"/>
      <c r="F831" s="15"/>
      <c r="H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3">
      <c r="A832" s="15"/>
      <c r="B832" s="15"/>
      <c r="C832" s="15"/>
      <c r="D832" s="15"/>
      <c r="F832" s="15"/>
      <c r="H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3">
      <c r="A833" s="15"/>
      <c r="B833" s="15"/>
      <c r="C833" s="15"/>
      <c r="D833" s="15"/>
      <c r="F833" s="15"/>
      <c r="H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3">
      <c r="A834" s="15"/>
      <c r="B834" s="15"/>
      <c r="C834" s="15"/>
      <c r="D834" s="15"/>
      <c r="F834" s="15"/>
      <c r="H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3">
      <c r="A835" s="15"/>
      <c r="B835" s="15"/>
      <c r="C835" s="15"/>
      <c r="D835" s="15"/>
      <c r="F835" s="15"/>
      <c r="H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3">
      <c r="A836" s="15"/>
      <c r="B836" s="15"/>
      <c r="C836" s="15"/>
      <c r="D836" s="15"/>
      <c r="F836" s="15"/>
      <c r="H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3">
      <c r="A837" s="15"/>
      <c r="B837" s="15"/>
      <c r="C837" s="15"/>
      <c r="D837" s="15"/>
      <c r="F837" s="15"/>
      <c r="H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3">
      <c r="A838" s="15"/>
      <c r="B838" s="15"/>
      <c r="C838" s="15"/>
      <c r="D838" s="15"/>
      <c r="F838" s="15"/>
      <c r="H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3">
      <c r="A839" s="15"/>
      <c r="B839" s="15"/>
      <c r="C839" s="15"/>
      <c r="D839" s="15"/>
      <c r="F839" s="15"/>
      <c r="H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3">
      <c r="A840" s="15"/>
      <c r="B840" s="15"/>
      <c r="C840" s="15"/>
      <c r="D840" s="15"/>
      <c r="F840" s="15"/>
      <c r="H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3">
      <c r="A841" s="15"/>
      <c r="B841" s="15"/>
      <c r="C841" s="15"/>
      <c r="D841" s="15"/>
      <c r="F841" s="15"/>
      <c r="H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3">
      <c r="A842" s="15"/>
      <c r="B842" s="15"/>
      <c r="C842" s="15"/>
      <c r="D842" s="15"/>
      <c r="F842" s="15"/>
      <c r="H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3">
      <c r="A843" s="15"/>
      <c r="B843" s="15"/>
      <c r="C843" s="15"/>
      <c r="D843" s="15"/>
      <c r="F843" s="15"/>
      <c r="H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3">
      <c r="A844" s="15"/>
      <c r="B844" s="15"/>
      <c r="C844" s="15"/>
      <c r="D844" s="15"/>
      <c r="F844" s="15"/>
      <c r="H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3">
      <c r="A845" s="15"/>
      <c r="B845" s="15"/>
      <c r="C845" s="15"/>
      <c r="D845" s="15"/>
      <c r="F845" s="15"/>
      <c r="H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3">
      <c r="A846" s="15"/>
      <c r="B846" s="15"/>
      <c r="C846" s="15"/>
      <c r="D846" s="15"/>
      <c r="F846" s="15"/>
      <c r="H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3">
      <c r="A847" s="15"/>
      <c r="B847" s="15"/>
      <c r="C847" s="15"/>
      <c r="D847" s="15"/>
      <c r="F847" s="15"/>
      <c r="H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3">
      <c r="A848" s="15"/>
      <c r="B848" s="15"/>
      <c r="C848" s="15"/>
      <c r="D848" s="15"/>
      <c r="F848" s="15"/>
      <c r="H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3">
      <c r="A849" s="15"/>
      <c r="B849" s="15"/>
      <c r="C849" s="15"/>
      <c r="D849" s="15"/>
      <c r="F849" s="15"/>
      <c r="H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3">
      <c r="A850" s="15"/>
      <c r="B850" s="15"/>
      <c r="C850" s="15"/>
      <c r="D850" s="15"/>
      <c r="F850" s="15"/>
      <c r="H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3">
      <c r="A851" s="15"/>
      <c r="B851" s="15"/>
      <c r="C851" s="15"/>
      <c r="D851" s="15"/>
      <c r="F851" s="15"/>
      <c r="H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3">
      <c r="A852" s="15"/>
      <c r="B852" s="15"/>
      <c r="C852" s="15"/>
      <c r="D852" s="15"/>
      <c r="F852" s="15"/>
      <c r="H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3">
      <c r="A853" s="15"/>
      <c r="B853" s="15"/>
      <c r="C853" s="15"/>
      <c r="D853" s="15"/>
      <c r="F853" s="15"/>
      <c r="H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3">
      <c r="A854" s="15"/>
      <c r="B854" s="15"/>
      <c r="C854" s="15"/>
      <c r="D854" s="15"/>
      <c r="F854" s="15"/>
      <c r="H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3">
      <c r="A855" s="15"/>
      <c r="B855" s="15"/>
      <c r="C855" s="15"/>
      <c r="D855" s="15"/>
      <c r="F855" s="15"/>
      <c r="H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3">
      <c r="A856" s="15"/>
      <c r="B856" s="15"/>
      <c r="C856" s="15"/>
      <c r="D856" s="15"/>
      <c r="F856" s="15"/>
      <c r="H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3">
      <c r="A857" s="15"/>
      <c r="B857" s="15"/>
      <c r="C857" s="15"/>
      <c r="D857" s="15"/>
      <c r="F857" s="15"/>
      <c r="H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3">
      <c r="A858" s="15"/>
      <c r="B858" s="15"/>
      <c r="C858" s="15"/>
      <c r="D858" s="15"/>
      <c r="F858" s="15"/>
      <c r="H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3">
      <c r="A859" s="15"/>
      <c r="B859" s="15"/>
      <c r="C859" s="15"/>
      <c r="D859" s="15"/>
      <c r="F859" s="15"/>
      <c r="H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3">
      <c r="A860" s="15"/>
      <c r="B860" s="15"/>
      <c r="C860" s="15"/>
      <c r="D860" s="15"/>
      <c r="F860" s="15"/>
      <c r="H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3">
      <c r="A861" s="15"/>
      <c r="B861" s="15"/>
      <c r="C861" s="15"/>
      <c r="D861" s="15"/>
      <c r="F861" s="15"/>
      <c r="H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3">
      <c r="A862" s="15"/>
      <c r="B862" s="15"/>
      <c r="C862" s="15"/>
      <c r="D862" s="15"/>
      <c r="F862" s="15"/>
      <c r="H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3">
      <c r="A863" s="15"/>
      <c r="B863" s="15"/>
      <c r="C863" s="15"/>
      <c r="D863" s="15"/>
      <c r="F863" s="15"/>
      <c r="H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3">
      <c r="A864" s="15"/>
      <c r="B864" s="15"/>
      <c r="C864" s="15"/>
      <c r="D864" s="15"/>
      <c r="F864" s="15"/>
      <c r="H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3">
      <c r="A865" s="15"/>
      <c r="B865" s="15"/>
      <c r="C865" s="15"/>
      <c r="D865" s="15"/>
      <c r="F865" s="15"/>
      <c r="H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3">
      <c r="A866" s="15"/>
      <c r="B866" s="15"/>
      <c r="C866" s="15"/>
      <c r="D866" s="15"/>
      <c r="F866" s="15"/>
      <c r="H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3">
      <c r="A867" s="15"/>
      <c r="B867" s="15"/>
      <c r="C867" s="15"/>
      <c r="D867" s="15"/>
      <c r="F867" s="15"/>
      <c r="H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3">
      <c r="A868" s="15"/>
      <c r="B868" s="15"/>
      <c r="C868" s="15"/>
      <c r="D868" s="15"/>
      <c r="F868" s="15"/>
      <c r="H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3">
      <c r="A869" s="15"/>
      <c r="B869" s="15"/>
      <c r="C869" s="15"/>
      <c r="D869" s="15"/>
      <c r="F869" s="15"/>
      <c r="H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3">
      <c r="A870" s="15"/>
      <c r="B870" s="15"/>
      <c r="C870" s="15"/>
      <c r="D870" s="15"/>
      <c r="F870" s="15"/>
      <c r="H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3">
      <c r="A871" s="15"/>
      <c r="B871" s="15"/>
      <c r="C871" s="15"/>
      <c r="D871" s="15"/>
      <c r="F871" s="15"/>
      <c r="H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3">
      <c r="A872" s="15"/>
      <c r="B872" s="15"/>
      <c r="C872" s="15"/>
      <c r="D872" s="15"/>
      <c r="F872" s="15"/>
      <c r="H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3">
      <c r="A873" s="15"/>
      <c r="B873" s="15"/>
      <c r="C873" s="15"/>
      <c r="D873" s="15"/>
      <c r="F873" s="15"/>
      <c r="H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3">
      <c r="A874" s="15"/>
      <c r="B874" s="15"/>
      <c r="C874" s="15"/>
      <c r="D874" s="15"/>
      <c r="F874" s="15"/>
      <c r="H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3">
      <c r="A875" s="15"/>
      <c r="B875" s="15"/>
      <c r="C875" s="15"/>
      <c r="D875" s="15"/>
      <c r="F875" s="15"/>
      <c r="H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3">
      <c r="A876" s="15"/>
      <c r="B876" s="15"/>
      <c r="C876" s="15"/>
      <c r="D876" s="15"/>
      <c r="F876" s="15"/>
      <c r="H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3">
      <c r="A877" s="15"/>
      <c r="B877" s="15"/>
      <c r="C877" s="15"/>
      <c r="D877" s="15"/>
      <c r="F877" s="15"/>
      <c r="H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3">
      <c r="A878" s="15"/>
      <c r="B878" s="15"/>
      <c r="C878" s="15"/>
      <c r="D878" s="15"/>
      <c r="F878" s="15"/>
      <c r="H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3">
      <c r="A879" s="15"/>
      <c r="B879" s="15"/>
      <c r="C879" s="15"/>
      <c r="D879" s="15"/>
      <c r="F879" s="15"/>
      <c r="H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3">
      <c r="A880" s="15"/>
      <c r="B880" s="15"/>
      <c r="C880" s="15"/>
      <c r="D880" s="15"/>
      <c r="F880" s="15"/>
      <c r="H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3">
      <c r="A881" s="15"/>
      <c r="B881" s="15"/>
      <c r="C881" s="15"/>
      <c r="D881" s="15"/>
      <c r="F881" s="15"/>
      <c r="H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3">
      <c r="A882" s="15"/>
      <c r="B882" s="15"/>
      <c r="C882" s="15"/>
      <c r="D882" s="15"/>
      <c r="F882" s="15"/>
      <c r="H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3">
      <c r="A883" s="15"/>
      <c r="B883" s="15"/>
      <c r="C883" s="15"/>
      <c r="D883" s="15"/>
      <c r="F883" s="15"/>
      <c r="H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3">
      <c r="A884" s="15"/>
      <c r="B884" s="15"/>
      <c r="C884" s="15"/>
      <c r="D884" s="15"/>
      <c r="F884" s="15"/>
      <c r="H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3">
      <c r="A885" s="15"/>
      <c r="B885" s="15"/>
      <c r="C885" s="15"/>
      <c r="D885" s="15"/>
      <c r="F885" s="15"/>
      <c r="H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3">
      <c r="A886" s="15"/>
      <c r="B886" s="15"/>
      <c r="C886" s="15"/>
      <c r="D886" s="15"/>
      <c r="F886" s="15"/>
      <c r="H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3">
      <c r="A887" s="15"/>
      <c r="B887" s="15"/>
      <c r="C887" s="15"/>
      <c r="D887" s="15"/>
      <c r="F887" s="15"/>
      <c r="H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3">
      <c r="A888" s="15"/>
      <c r="B888" s="15"/>
      <c r="C888" s="15"/>
      <c r="D888" s="15"/>
      <c r="F888" s="15"/>
      <c r="H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3">
      <c r="A889" s="15"/>
      <c r="B889" s="15"/>
      <c r="C889" s="15"/>
      <c r="D889" s="15"/>
      <c r="F889" s="15"/>
      <c r="H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3">
      <c r="A890" s="15"/>
      <c r="B890" s="15"/>
      <c r="C890" s="15"/>
      <c r="D890" s="15"/>
      <c r="F890" s="15"/>
      <c r="H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3">
      <c r="A891" s="15"/>
      <c r="B891" s="15"/>
      <c r="C891" s="15"/>
      <c r="D891" s="15"/>
      <c r="F891" s="15"/>
      <c r="H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3">
      <c r="A892" s="15"/>
      <c r="B892" s="15"/>
      <c r="C892" s="15"/>
      <c r="D892" s="15"/>
      <c r="F892" s="15"/>
      <c r="H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3">
      <c r="A893" s="15"/>
      <c r="B893" s="15"/>
      <c r="C893" s="15"/>
      <c r="D893" s="15"/>
      <c r="F893" s="15"/>
      <c r="H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3">
      <c r="A894" s="15"/>
      <c r="B894" s="15"/>
      <c r="C894" s="15"/>
      <c r="D894" s="15"/>
      <c r="F894" s="15"/>
      <c r="H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3">
      <c r="A895" s="15"/>
      <c r="B895" s="15"/>
      <c r="C895" s="15"/>
      <c r="D895" s="15"/>
      <c r="F895" s="15"/>
      <c r="H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3">
      <c r="A896" s="15"/>
      <c r="B896" s="15"/>
      <c r="C896" s="15"/>
      <c r="D896" s="15"/>
      <c r="F896" s="15"/>
      <c r="H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3">
      <c r="A897" s="15"/>
      <c r="B897" s="15"/>
      <c r="C897" s="15"/>
      <c r="D897" s="15"/>
      <c r="F897" s="15"/>
      <c r="H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3">
      <c r="A898" s="15"/>
      <c r="B898" s="15"/>
      <c r="C898" s="15"/>
      <c r="D898" s="15"/>
      <c r="F898" s="15"/>
      <c r="H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3">
      <c r="A899" s="15"/>
      <c r="B899" s="15"/>
      <c r="C899" s="15"/>
      <c r="D899" s="15"/>
      <c r="F899" s="15"/>
      <c r="H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3">
      <c r="A900" s="15"/>
      <c r="B900" s="15"/>
      <c r="C900" s="15"/>
      <c r="D900" s="15"/>
      <c r="F900" s="15"/>
      <c r="H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3">
      <c r="A901" s="15"/>
      <c r="B901" s="15"/>
      <c r="C901" s="15"/>
      <c r="D901" s="15"/>
      <c r="F901" s="15"/>
      <c r="H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3">
      <c r="A902" s="15"/>
      <c r="B902" s="15"/>
      <c r="C902" s="15"/>
      <c r="D902" s="15"/>
      <c r="F902" s="15"/>
      <c r="H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3">
      <c r="A903" s="15"/>
      <c r="B903" s="15"/>
      <c r="C903" s="15"/>
      <c r="D903" s="15"/>
      <c r="F903" s="15"/>
      <c r="H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3">
      <c r="A904" s="15"/>
      <c r="B904" s="15"/>
      <c r="C904" s="15"/>
      <c r="D904" s="15"/>
      <c r="F904" s="15"/>
      <c r="H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3">
      <c r="A905" s="15"/>
      <c r="B905" s="15"/>
      <c r="C905" s="15"/>
      <c r="D905" s="15"/>
      <c r="F905" s="15"/>
      <c r="H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3">
      <c r="A906" s="15"/>
      <c r="B906" s="15"/>
      <c r="C906" s="15"/>
      <c r="D906" s="15"/>
      <c r="F906" s="15"/>
      <c r="H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3">
      <c r="A907" s="15"/>
      <c r="B907" s="15"/>
      <c r="C907" s="15"/>
      <c r="D907" s="15"/>
      <c r="F907" s="15"/>
      <c r="H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3">
      <c r="A908" s="15"/>
      <c r="B908" s="15"/>
      <c r="C908" s="15"/>
      <c r="D908" s="15"/>
      <c r="F908" s="15"/>
      <c r="H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3">
      <c r="A909" s="15"/>
      <c r="B909" s="15"/>
      <c r="C909" s="15"/>
      <c r="D909" s="15"/>
      <c r="F909" s="15"/>
      <c r="H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3">
      <c r="A910" s="15"/>
      <c r="B910" s="15"/>
      <c r="C910" s="15"/>
      <c r="D910" s="15"/>
      <c r="F910" s="15"/>
      <c r="H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3">
      <c r="A911" s="15"/>
      <c r="B911" s="15"/>
      <c r="C911" s="15"/>
      <c r="D911" s="15"/>
      <c r="F911" s="15"/>
      <c r="H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3">
      <c r="A912" s="15"/>
      <c r="B912" s="15"/>
      <c r="C912" s="15"/>
      <c r="D912" s="15"/>
      <c r="F912" s="15"/>
      <c r="H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3">
      <c r="A913" s="15"/>
      <c r="B913" s="15"/>
      <c r="C913" s="15"/>
      <c r="D913" s="15"/>
      <c r="F913" s="15"/>
      <c r="H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3">
      <c r="A914" s="15"/>
      <c r="B914" s="15"/>
      <c r="C914" s="15"/>
      <c r="D914" s="15"/>
      <c r="F914" s="15"/>
      <c r="H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3">
      <c r="A915" s="15"/>
      <c r="B915" s="15"/>
      <c r="C915" s="15"/>
      <c r="D915" s="15"/>
      <c r="F915" s="15"/>
      <c r="H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3">
      <c r="A916" s="15"/>
      <c r="B916" s="15"/>
      <c r="C916" s="15"/>
      <c r="D916" s="15"/>
      <c r="F916" s="15"/>
      <c r="H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3">
      <c r="A917" s="15"/>
      <c r="B917" s="15"/>
      <c r="C917" s="15"/>
      <c r="D917" s="15"/>
      <c r="F917" s="15"/>
      <c r="H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3">
      <c r="A918" s="15"/>
      <c r="B918" s="15"/>
      <c r="C918" s="15"/>
      <c r="D918" s="15"/>
      <c r="F918" s="15"/>
      <c r="H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3">
      <c r="A919" s="15"/>
      <c r="B919" s="15"/>
      <c r="C919" s="15"/>
      <c r="D919" s="15"/>
      <c r="F919" s="15"/>
      <c r="H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3">
      <c r="A920" s="15"/>
      <c r="B920" s="15"/>
      <c r="C920" s="15"/>
      <c r="D920" s="15"/>
      <c r="F920" s="15"/>
      <c r="H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3">
      <c r="A921" s="15"/>
      <c r="B921" s="15"/>
      <c r="C921" s="15"/>
      <c r="D921" s="15"/>
      <c r="F921" s="15"/>
      <c r="H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3">
      <c r="A922" s="15"/>
      <c r="B922" s="15"/>
      <c r="C922" s="15"/>
      <c r="D922" s="15"/>
      <c r="F922" s="15"/>
      <c r="H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3">
      <c r="A923" s="15"/>
      <c r="B923" s="15"/>
      <c r="C923" s="15"/>
      <c r="D923" s="15"/>
      <c r="F923" s="15"/>
      <c r="H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3">
      <c r="A924" s="15"/>
      <c r="B924" s="15"/>
      <c r="C924" s="15"/>
      <c r="D924" s="15"/>
      <c r="F924" s="15"/>
      <c r="H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3">
      <c r="A925" s="15"/>
      <c r="B925" s="15"/>
      <c r="C925" s="15"/>
      <c r="D925" s="15"/>
      <c r="F925" s="15"/>
      <c r="H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3">
      <c r="A926" s="15"/>
      <c r="B926" s="15"/>
      <c r="C926" s="15"/>
      <c r="D926" s="15"/>
      <c r="F926" s="15"/>
      <c r="H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3">
      <c r="A927" s="15"/>
      <c r="B927" s="15"/>
      <c r="C927" s="15"/>
      <c r="D927" s="15"/>
      <c r="F927" s="15"/>
      <c r="H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3">
      <c r="A928" s="15"/>
      <c r="B928" s="15"/>
      <c r="C928" s="15"/>
      <c r="D928" s="15"/>
      <c r="F928" s="15"/>
      <c r="H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3">
      <c r="A929" s="15"/>
      <c r="B929" s="15"/>
      <c r="C929" s="15"/>
      <c r="D929" s="15"/>
      <c r="F929" s="15"/>
      <c r="H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3">
      <c r="A930" s="15"/>
      <c r="B930" s="15"/>
      <c r="C930" s="15"/>
      <c r="D930" s="15"/>
      <c r="F930" s="15"/>
      <c r="H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3">
      <c r="A931" s="15"/>
      <c r="B931" s="15"/>
      <c r="C931" s="15"/>
      <c r="D931" s="15"/>
      <c r="F931" s="15"/>
      <c r="H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3">
      <c r="A932" s="15"/>
      <c r="B932" s="15"/>
      <c r="C932" s="15"/>
      <c r="D932" s="15"/>
      <c r="F932" s="15"/>
      <c r="H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3">
      <c r="A933" s="15"/>
      <c r="B933" s="15"/>
      <c r="C933" s="15"/>
      <c r="D933" s="15"/>
      <c r="F933" s="15"/>
      <c r="H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3">
      <c r="A934" s="15"/>
      <c r="B934" s="15"/>
      <c r="C934" s="15"/>
      <c r="D934" s="15"/>
      <c r="F934" s="15"/>
      <c r="H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3">
      <c r="A935" s="15"/>
      <c r="B935" s="15"/>
      <c r="C935" s="15"/>
      <c r="D935" s="15"/>
      <c r="F935" s="15"/>
      <c r="H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3">
      <c r="A936" s="15"/>
      <c r="B936" s="15"/>
      <c r="C936" s="15"/>
      <c r="D936" s="15"/>
      <c r="F936" s="15"/>
      <c r="H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3">
      <c r="A937" s="15"/>
      <c r="B937" s="15"/>
      <c r="C937" s="15"/>
      <c r="D937" s="15"/>
      <c r="F937" s="15"/>
      <c r="H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3">
      <c r="A938" s="15"/>
      <c r="B938" s="15"/>
      <c r="C938" s="15"/>
      <c r="D938" s="15"/>
      <c r="F938" s="15"/>
      <c r="H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3">
      <c r="A939" s="15"/>
      <c r="B939" s="15"/>
      <c r="C939" s="15"/>
      <c r="D939" s="15"/>
      <c r="F939" s="15"/>
      <c r="H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3">
      <c r="A940" s="15"/>
      <c r="B940" s="15"/>
      <c r="C940" s="15"/>
      <c r="D940" s="15"/>
      <c r="F940" s="15"/>
      <c r="H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3">
      <c r="A941" s="15"/>
      <c r="B941" s="15"/>
      <c r="C941" s="15"/>
      <c r="D941" s="15"/>
      <c r="F941" s="15"/>
      <c r="H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3">
      <c r="A942" s="15"/>
      <c r="B942" s="15"/>
      <c r="C942" s="15"/>
      <c r="D942" s="15"/>
      <c r="F942" s="15"/>
      <c r="H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3">
      <c r="A943" s="15"/>
      <c r="B943" s="15"/>
      <c r="C943" s="15"/>
      <c r="D943" s="15"/>
      <c r="F943" s="15"/>
      <c r="H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3">
      <c r="A944" s="15"/>
      <c r="B944" s="15"/>
      <c r="C944" s="15"/>
      <c r="D944" s="15"/>
      <c r="F944" s="15"/>
      <c r="H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3">
      <c r="A945" s="15"/>
      <c r="B945" s="15"/>
      <c r="C945" s="15"/>
      <c r="D945" s="15"/>
      <c r="F945" s="15"/>
      <c r="H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 x14ac:dyDescent="0.3">
      <c r="A946" s="15"/>
      <c r="B946" s="15"/>
      <c r="C946" s="15"/>
      <c r="D946" s="15"/>
      <c r="F946" s="15"/>
      <c r="H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 x14ac:dyDescent="0.3">
      <c r="A947" s="15"/>
      <c r="B947" s="15"/>
      <c r="C947" s="15"/>
      <c r="D947" s="15"/>
      <c r="F947" s="15"/>
      <c r="H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 x14ac:dyDescent="0.3">
      <c r="A948" s="15"/>
      <c r="B948" s="15"/>
      <c r="C948" s="15"/>
      <c r="D948" s="15"/>
      <c r="F948" s="15"/>
      <c r="H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 x14ac:dyDescent="0.3">
      <c r="A949" s="15"/>
      <c r="B949" s="15"/>
      <c r="C949" s="15"/>
      <c r="D949" s="15"/>
      <c r="F949" s="15"/>
      <c r="H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 x14ac:dyDescent="0.3">
      <c r="A950" s="15"/>
      <c r="B950" s="15"/>
      <c r="C950" s="15"/>
      <c r="D950" s="15"/>
      <c r="F950" s="15"/>
      <c r="H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 x14ac:dyDescent="0.3">
      <c r="A951" s="15"/>
      <c r="B951" s="15"/>
      <c r="C951" s="15"/>
      <c r="D951" s="15"/>
      <c r="F951" s="15"/>
      <c r="H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 x14ac:dyDescent="0.3">
      <c r="A952" s="15"/>
      <c r="B952" s="15"/>
      <c r="C952" s="15"/>
      <c r="D952" s="15"/>
      <c r="F952" s="15"/>
      <c r="H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 x14ac:dyDescent="0.3">
      <c r="A953" s="15"/>
      <c r="B953" s="15"/>
      <c r="C953" s="15"/>
      <c r="D953" s="15"/>
      <c r="F953" s="15"/>
      <c r="H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 x14ac:dyDescent="0.3">
      <c r="A954" s="15"/>
      <c r="B954" s="15"/>
      <c r="C954" s="15"/>
      <c r="D954" s="15"/>
      <c r="F954" s="15"/>
      <c r="H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 x14ac:dyDescent="0.3">
      <c r="A955" s="15"/>
      <c r="B955" s="15"/>
      <c r="C955" s="15"/>
      <c r="D955" s="15"/>
      <c r="F955" s="15"/>
      <c r="H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 x14ac:dyDescent="0.3">
      <c r="A956" s="15"/>
      <c r="B956" s="15"/>
      <c r="C956" s="15"/>
      <c r="D956" s="15"/>
      <c r="F956" s="15"/>
      <c r="H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 x14ac:dyDescent="0.3">
      <c r="A957" s="15"/>
      <c r="B957" s="15"/>
      <c r="C957" s="15"/>
      <c r="D957" s="15"/>
      <c r="F957" s="15"/>
      <c r="H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 x14ac:dyDescent="0.3">
      <c r="A958" s="15"/>
      <c r="B958" s="15"/>
      <c r="C958" s="15"/>
      <c r="D958" s="15"/>
      <c r="F958" s="15"/>
      <c r="H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 x14ac:dyDescent="0.3">
      <c r="A959" s="15"/>
      <c r="B959" s="15"/>
      <c r="C959" s="15"/>
      <c r="D959" s="15"/>
      <c r="F959" s="15"/>
      <c r="H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 x14ac:dyDescent="0.3">
      <c r="A960" s="15"/>
      <c r="B960" s="15"/>
      <c r="C960" s="15"/>
      <c r="D960" s="15"/>
      <c r="F960" s="15"/>
      <c r="H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 x14ac:dyDescent="0.3">
      <c r="A961" s="15"/>
      <c r="B961" s="15"/>
      <c r="C961" s="15"/>
      <c r="D961" s="15"/>
      <c r="F961" s="15"/>
      <c r="H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 x14ac:dyDescent="0.3">
      <c r="A962" s="15"/>
      <c r="B962" s="15"/>
      <c r="C962" s="15"/>
      <c r="D962" s="15"/>
      <c r="F962" s="15"/>
      <c r="H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 x14ac:dyDescent="0.3">
      <c r="A963" s="15"/>
      <c r="B963" s="15"/>
      <c r="C963" s="15"/>
      <c r="D963" s="15"/>
      <c r="F963" s="15"/>
      <c r="H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 x14ac:dyDescent="0.3">
      <c r="A964" s="15"/>
      <c r="B964" s="15"/>
      <c r="C964" s="15"/>
      <c r="D964" s="15"/>
      <c r="F964" s="15"/>
      <c r="H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 x14ac:dyDescent="0.3">
      <c r="A965" s="15"/>
      <c r="B965" s="15"/>
      <c r="C965" s="15"/>
      <c r="D965" s="15"/>
      <c r="F965" s="15"/>
      <c r="H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 x14ac:dyDescent="0.3">
      <c r="A966" s="15"/>
      <c r="B966" s="15"/>
      <c r="C966" s="15"/>
      <c r="D966" s="15"/>
      <c r="F966" s="15"/>
      <c r="H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 x14ac:dyDescent="0.3">
      <c r="A967" s="15"/>
      <c r="B967" s="15"/>
      <c r="C967" s="15"/>
      <c r="D967" s="15"/>
      <c r="F967" s="15"/>
      <c r="H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 x14ac:dyDescent="0.3">
      <c r="A968" s="15"/>
      <c r="B968" s="15"/>
      <c r="C968" s="15"/>
      <c r="D968" s="15"/>
      <c r="F968" s="15"/>
      <c r="H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 x14ac:dyDescent="0.3">
      <c r="A969" s="15"/>
      <c r="B969" s="15"/>
      <c r="C969" s="15"/>
      <c r="D969" s="15"/>
      <c r="F969" s="15"/>
      <c r="H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 x14ac:dyDescent="0.3">
      <c r="A970" s="15"/>
      <c r="B970" s="15"/>
      <c r="C970" s="15"/>
      <c r="D970" s="15"/>
      <c r="F970" s="15"/>
      <c r="H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 x14ac:dyDescent="0.3">
      <c r="A971" s="15"/>
      <c r="B971" s="15"/>
      <c r="C971" s="15"/>
      <c r="D971" s="15"/>
      <c r="F971" s="15"/>
      <c r="H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 x14ac:dyDescent="0.3">
      <c r="A972" s="15"/>
      <c r="B972" s="15"/>
      <c r="C972" s="15"/>
      <c r="D972" s="15"/>
      <c r="F972" s="15"/>
      <c r="H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 x14ac:dyDescent="0.3">
      <c r="A973" s="15"/>
      <c r="B973" s="15"/>
      <c r="C973" s="15"/>
      <c r="D973" s="15"/>
      <c r="F973" s="15"/>
      <c r="H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 x14ac:dyDescent="0.3">
      <c r="A974" s="15"/>
      <c r="B974" s="15"/>
      <c r="C974" s="15"/>
      <c r="D974" s="15"/>
      <c r="F974" s="15"/>
      <c r="H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 x14ac:dyDescent="0.3">
      <c r="A975" s="15"/>
      <c r="B975" s="15"/>
      <c r="C975" s="15"/>
      <c r="D975" s="15"/>
      <c r="F975" s="15"/>
      <c r="H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 x14ac:dyDescent="0.3">
      <c r="A976" s="15"/>
      <c r="B976" s="15"/>
      <c r="C976" s="15"/>
      <c r="D976" s="15"/>
      <c r="F976" s="15"/>
      <c r="H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 x14ac:dyDescent="0.3">
      <c r="A977" s="15"/>
      <c r="B977" s="15"/>
      <c r="C977" s="15"/>
      <c r="D977" s="15"/>
      <c r="F977" s="15"/>
      <c r="H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 x14ac:dyDescent="0.3">
      <c r="A978" s="15"/>
      <c r="B978" s="15"/>
      <c r="C978" s="15"/>
      <c r="D978" s="15"/>
      <c r="F978" s="15"/>
      <c r="H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 x14ac:dyDescent="0.3">
      <c r="A979" s="15"/>
      <c r="B979" s="15"/>
      <c r="C979" s="15"/>
      <c r="D979" s="15"/>
      <c r="F979" s="15"/>
      <c r="H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 x14ac:dyDescent="0.3">
      <c r="A980" s="15"/>
      <c r="B980" s="15"/>
      <c r="C980" s="15"/>
      <c r="D980" s="15"/>
      <c r="F980" s="15"/>
      <c r="H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 x14ac:dyDescent="0.3">
      <c r="A981" s="15"/>
      <c r="B981" s="15"/>
      <c r="C981" s="15"/>
      <c r="D981" s="15"/>
      <c r="F981" s="15"/>
      <c r="H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 x14ac:dyDescent="0.3">
      <c r="A982" s="15"/>
      <c r="B982" s="15"/>
      <c r="C982" s="15"/>
      <c r="D982" s="15"/>
      <c r="F982" s="15"/>
      <c r="H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 x14ac:dyDescent="0.3">
      <c r="A983" s="15"/>
      <c r="B983" s="15"/>
      <c r="C983" s="15"/>
      <c r="D983" s="15"/>
      <c r="F983" s="15"/>
      <c r="H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 x14ac:dyDescent="0.3">
      <c r="A984" s="15"/>
      <c r="B984" s="15"/>
      <c r="C984" s="15"/>
      <c r="D984" s="15"/>
      <c r="F984" s="15"/>
      <c r="H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 x14ac:dyDescent="0.3">
      <c r="A985" s="15"/>
      <c r="B985" s="15"/>
      <c r="C985" s="15"/>
      <c r="D985" s="15"/>
      <c r="F985" s="15"/>
      <c r="H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 x14ac:dyDescent="0.3">
      <c r="A986" s="15"/>
      <c r="B986" s="15"/>
      <c r="C986" s="15"/>
      <c r="D986" s="15"/>
      <c r="F986" s="15"/>
      <c r="H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 x14ac:dyDescent="0.3">
      <c r="A987" s="15"/>
      <c r="B987" s="15"/>
      <c r="C987" s="15"/>
      <c r="D987" s="15"/>
      <c r="F987" s="15"/>
      <c r="H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 x14ac:dyDescent="0.3">
      <c r="A988" s="15"/>
      <c r="B988" s="15"/>
      <c r="C988" s="15"/>
      <c r="D988" s="15"/>
      <c r="F988" s="15"/>
      <c r="H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 x14ac:dyDescent="0.3">
      <c r="A989" s="15"/>
      <c r="B989" s="15"/>
      <c r="C989" s="15"/>
      <c r="D989" s="15"/>
      <c r="F989" s="15"/>
      <c r="H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 x14ac:dyDescent="0.3">
      <c r="A990" s="15"/>
      <c r="B990" s="15"/>
      <c r="C990" s="15"/>
      <c r="D990" s="15"/>
      <c r="F990" s="15"/>
      <c r="H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 x14ac:dyDescent="0.3">
      <c r="A991" s="15"/>
      <c r="B991" s="15"/>
      <c r="C991" s="15"/>
      <c r="D991" s="15"/>
      <c r="F991" s="15"/>
      <c r="H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 x14ac:dyDescent="0.3">
      <c r="A992" s="15"/>
      <c r="B992" s="15"/>
      <c r="C992" s="15"/>
      <c r="D992" s="15"/>
      <c r="F992" s="15"/>
      <c r="H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 x14ac:dyDescent="0.3">
      <c r="A993" s="15"/>
      <c r="B993" s="15"/>
      <c r="C993" s="15"/>
      <c r="D993" s="15"/>
      <c r="F993" s="15"/>
      <c r="H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 x14ac:dyDescent="0.3">
      <c r="A994" s="15"/>
      <c r="B994" s="15"/>
      <c r="C994" s="15"/>
      <c r="D994" s="15"/>
      <c r="F994" s="15"/>
      <c r="H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 x14ac:dyDescent="0.3">
      <c r="A995" s="15"/>
      <c r="B995" s="15"/>
      <c r="C995" s="15"/>
      <c r="D995" s="15"/>
      <c r="F995" s="15"/>
      <c r="H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 x14ac:dyDescent="0.3">
      <c r="A996" s="15"/>
      <c r="B996" s="15"/>
      <c r="C996" s="15"/>
      <c r="D996" s="15"/>
      <c r="F996" s="15"/>
      <c r="H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 x14ac:dyDescent="0.3">
      <c r="A997" s="15"/>
      <c r="B997" s="15"/>
      <c r="C997" s="15"/>
      <c r="D997" s="15"/>
      <c r="F997" s="15"/>
      <c r="H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5.75" customHeight="1" x14ac:dyDescent="0.3">
      <c r="A998" s="15"/>
      <c r="B998" s="15"/>
      <c r="C998" s="15"/>
      <c r="D998" s="15"/>
      <c r="F998" s="15"/>
      <c r="H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5.75" customHeight="1" x14ac:dyDescent="0.3">
      <c r="A999" s="15"/>
      <c r="B999" s="15"/>
      <c r="C999" s="15"/>
      <c r="D999" s="15"/>
      <c r="F999" s="15"/>
      <c r="H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5.75" customHeight="1" x14ac:dyDescent="0.3">
      <c r="A1000" s="15"/>
      <c r="B1000" s="15"/>
      <c r="C1000" s="15"/>
      <c r="D1000" s="15"/>
      <c r="F1000" s="15"/>
      <c r="H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5.75" customHeight="1" x14ac:dyDescent="0.3">
      <c r="A1001" s="15"/>
      <c r="B1001" s="15"/>
      <c r="C1001" s="15"/>
      <c r="D1001" s="15"/>
      <c r="F1001" s="15"/>
      <c r="H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ht="15.75" customHeight="1" x14ac:dyDescent="0.3">
      <c r="A1002" s="15"/>
      <c r="B1002" s="15"/>
      <c r="C1002" s="15"/>
      <c r="D1002" s="15"/>
      <c r="F1002" s="15"/>
      <c r="H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ht="15.75" customHeight="1" x14ac:dyDescent="0.3">
      <c r="A1003" s="15"/>
      <c r="B1003" s="15"/>
      <c r="C1003" s="15"/>
      <c r="D1003" s="15"/>
      <c r="F1003" s="15"/>
      <c r="H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1:26" ht="15.75" customHeight="1" x14ac:dyDescent="0.3">
      <c r="A1004" s="15"/>
      <c r="B1004" s="15"/>
      <c r="C1004" s="15"/>
      <c r="D1004" s="15"/>
      <c r="F1004" s="15"/>
      <c r="H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 ht="15.75" customHeight="1" x14ac:dyDescent="0.3">
      <c r="A1005" s="15"/>
      <c r="B1005" s="15"/>
      <c r="C1005" s="15"/>
      <c r="D1005" s="15"/>
      <c r="F1005" s="15"/>
      <c r="H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 ht="15.75" customHeight="1" x14ac:dyDescent="0.3">
      <c r="A1006" s="15"/>
      <c r="B1006" s="15"/>
      <c r="C1006" s="15"/>
      <c r="D1006" s="15"/>
      <c r="F1006" s="15"/>
      <c r="H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 ht="15.75" customHeight="1" x14ac:dyDescent="0.3">
      <c r="A1007" s="15"/>
      <c r="B1007" s="15"/>
      <c r="C1007" s="15"/>
      <c r="D1007" s="15"/>
      <c r="F1007" s="15"/>
      <c r="H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 ht="15.75" customHeight="1" x14ac:dyDescent="0.3">
      <c r="A1008" s="15"/>
      <c r="B1008" s="15"/>
      <c r="C1008" s="15"/>
      <c r="D1008" s="15"/>
      <c r="F1008" s="15"/>
      <c r="H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 ht="15.75" customHeight="1" x14ac:dyDescent="0.3">
      <c r="A1009" s="15"/>
      <c r="B1009" s="15"/>
      <c r="C1009" s="15"/>
      <c r="D1009" s="15"/>
      <c r="F1009" s="15"/>
      <c r="H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 ht="15.75" customHeight="1" x14ac:dyDescent="0.3">
      <c r="A1010" s="15"/>
      <c r="B1010" s="15"/>
      <c r="C1010" s="15"/>
      <c r="D1010" s="15"/>
      <c r="F1010" s="15"/>
      <c r="H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 spans="1:26" ht="15.75" customHeight="1" x14ac:dyDescent="0.3">
      <c r="A1011" s="15"/>
      <c r="B1011" s="15"/>
      <c r="C1011" s="15"/>
      <c r="D1011" s="15"/>
      <c r="F1011" s="15"/>
      <c r="H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 ht="15.75" customHeight="1" x14ac:dyDescent="0.3">
      <c r="A1012" s="15"/>
      <c r="B1012" s="15"/>
      <c r="C1012" s="15"/>
      <c r="D1012" s="15"/>
      <c r="F1012" s="15"/>
      <c r="H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 spans="1:26" ht="15.75" customHeight="1" x14ac:dyDescent="0.3">
      <c r="A1013" s="15"/>
      <c r="B1013" s="15"/>
      <c r="C1013" s="15"/>
      <c r="D1013" s="15"/>
      <c r="F1013" s="15"/>
      <c r="H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 ht="15.75" customHeight="1" x14ac:dyDescent="0.3">
      <c r="A1014" s="15"/>
      <c r="B1014" s="15"/>
      <c r="C1014" s="15"/>
      <c r="D1014" s="15"/>
      <c r="F1014" s="15"/>
      <c r="H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 ht="15.75" customHeight="1" x14ac:dyDescent="0.3">
      <c r="A1015" s="15"/>
      <c r="B1015" s="15"/>
      <c r="C1015" s="15"/>
      <c r="D1015" s="15"/>
      <c r="F1015" s="15"/>
      <c r="H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 spans="1:26" ht="15.75" customHeight="1" x14ac:dyDescent="0.3">
      <c r="A1016" s="15"/>
      <c r="B1016" s="15"/>
      <c r="C1016" s="15"/>
      <c r="D1016" s="15"/>
      <c r="F1016" s="15"/>
      <c r="H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</sheetData>
  <sheetProtection algorithmName="SHA-512" hashValue="5tY7k3IvCMYWyxdhhgByXm+GXNjSU0zQk+GKI8XuI4Tzvbu3f4Tn+YuZM/VGzOgVMVKxjSRSI0dLhGwDogAYAg==" saltValue="yrKyUYV7yQpDnh5hNdwuIw==" spinCount="100000" sheet="1" objects="1" scenarios="1"/>
  <mergeCells count="22">
    <mergeCell ref="B1:H1"/>
    <mergeCell ref="B2:H2"/>
    <mergeCell ref="B12:H12"/>
    <mergeCell ref="B13:C14"/>
    <mergeCell ref="B3:I3"/>
    <mergeCell ref="B47:H47"/>
    <mergeCell ref="B48:C49"/>
    <mergeCell ref="B74:H74"/>
    <mergeCell ref="B75:C76"/>
    <mergeCell ref="B102:D102"/>
    <mergeCell ref="B106:H106"/>
    <mergeCell ref="B107:C108"/>
    <mergeCell ref="B113:D113"/>
    <mergeCell ref="B187:H187"/>
    <mergeCell ref="B130:D130"/>
    <mergeCell ref="B134:D134"/>
    <mergeCell ref="B135:C135"/>
    <mergeCell ref="B143:D143"/>
    <mergeCell ref="B146:D146"/>
    <mergeCell ref="B160:D160"/>
    <mergeCell ref="B183:D183"/>
    <mergeCell ref="B186:C186"/>
  </mergeCells>
  <conditionalFormatting sqref="E16">
    <cfRule type="expression" dxfId="117" priority="112" stopIfTrue="1">
      <formula>SUM(D16)&lt;=0</formula>
    </cfRule>
    <cfRule type="expression" dxfId="116" priority="113" stopIfTrue="1">
      <formula>D16&lt;D15</formula>
    </cfRule>
    <cfRule type="expression" dxfId="115" priority="114" stopIfTrue="1">
      <formula>D16&gt;=D15</formula>
    </cfRule>
  </conditionalFormatting>
  <conditionalFormatting sqref="E25 G25">
    <cfRule type="expression" dxfId="114" priority="189" stopIfTrue="1">
      <formula>SUM(D18:D24,D25)=D$16</formula>
    </cfRule>
    <cfRule type="expression" dxfId="113" priority="188" stopIfTrue="1">
      <formula>SUM(D18:D24,D25)&lt;&gt;D$16</formula>
    </cfRule>
    <cfRule type="expression" dxfId="112" priority="187" stopIfTrue="1">
      <formula>SUM(D18:D24,D25)&lt;=0</formula>
    </cfRule>
  </conditionalFormatting>
  <conditionalFormatting sqref="E42 G42">
    <cfRule type="expression" dxfId="111" priority="338" stopIfTrue="1">
      <formula>SUM(D27:D42)=D$16</formula>
    </cfRule>
    <cfRule type="expression" dxfId="110" priority="336" stopIfTrue="1">
      <formula>SUM(D27:D42)&lt;&gt;D$16</formula>
    </cfRule>
    <cfRule type="expression" dxfId="109" priority="135" stopIfTrue="1">
      <formula>SUM(D27:D42)&lt;=0</formula>
    </cfRule>
  </conditionalFormatting>
  <conditionalFormatting sqref="E51">
    <cfRule type="expression" dxfId="108" priority="111" stopIfTrue="1">
      <formula>$D$51&lt;=$D$16</formula>
    </cfRule>
    <cfRule type="expression" dxfId="107" priority="110" stopIfTrue="1">
      <formula>SUM($D$51)&lt;=0</formula>
    </cfRule>
    <cfRule type="expression" dxfId="106" priority="179" stopIfTrue="1">
      <formula>$D$51&gt;$D$16</formula>
    </cfRule>
  </conditionalFormatting>
  <conditionalFormatting sqref="E52">
    <cfRule type="expression" dxfId="105" priority="109" stopIfTrue="1">
      <formula>$D$52&gt;$D$51</formula>
    </cfRule>
    <cfRule type="expression" dxfId="104" priority="107" stopIfTrue="1">
      <formula>SUM($D$52)&lt;=0</formula>
    </cfRule>
    <cfRule type="expression" dxfId="103" priority="108" stopIfTrue="1">
      <formula>$D$52&lt;=$D$51</formula>
    </cfRule>
  </conditionalFormatting>
  <conditionalFormatting sqref="E69">
    <cfRule type="expression" dxfId="102" priority="518" stopIfTrue="1">
      <formula>SUM(D54:D69)=D52</formula>
    </cfRule>
    <cfRule type="expression" dxfId="101" priority="517" stopIfTrue="1">
      <formula>SUM(D54:D69)&lt;&gt;D52</formula>
    </cfRule>
    <cfRule type="expression" dxfId="100" priority="516" stopIfTrue="1">
      <formula>SUM(D54:D69)&lt;=0</formula>
    </cfRule>
  </conditionalFormatting>
  <conditionalFormatting sqref="E72">
    <cfRule type="expression" dxfId="99" priority="104" stopIfTrue="1">
      <formula>SUM($D$72)&lt;=0</formula>
    </cfRule>
    <cfRule type="expression" dxfId="98" priority="106" stopIfTrue="1">
      <formula>$D$72&gt;$D$51</formula>
    </cfRule>
    <cfRule type="expression" dxfId="97" priority="105" stopIfTrue="1">
      <formula>$D$72&lt;=$D$51</formula>
    </cfRule>
  </conditionalFormatting>
  <conditionalFormatting sqref="E78">
    <cfRule type="expression" dxfId="96" priority="777" stopIfTrue="1">
      <formula>D78&lt;=SUM(F16,H16)</formula>
    </cfRule>
    <cfRule type="expression" dxfId="95" priority="776" stopIfTrue="1">
      <formula>D78&gt;SUM(F16,H16)</formula>
    </cfRule>
    <cfRule type="expression" dxfId="94" priority="775" stopIfTrue="1">
      <formula>SUM(D78)&lt;=0</formula>
    </cfRule>
  </conditionalFormatting>
  <conditionalFormatting sqref="E80">
    <cfRule type="expression" dxfId="93" priority="99" stopIfTrue="1">
      <formula>SUM(D79:D80)=D78</formula>
    </cfRule>
    <cfRule type="expression" dxfId="92" priority="100" stopIfTrue="1">
      <formula>SUM(D79:D80)&lt;&gt;D78</formula>
    </cfRule>
    <cfRule type="expression" dxfId="91" priority="98" stopIfTrue="1">
      <formula>SUM($D$80)&lt;=0</formula>
    </cfRule>
  </conditionalFormatting>
  <conditionalFormatting sqref="E90">
    <cfRule type="expression" dxfId="90" priority="782" stopIfTrue="1">
      <formula>D79&lt;&gt;SUM(D86:D90)</formula>
    </cfRule>
    <cfRule type="expression" dxfId="89" priority="783" stopIfTrue="1">
      <formula>D79=SUM(D86:D90)</formula>
    </cfRule>
    <cfRule type="expression" dxfId="88" priority="781" stopIfTrue="1">
      <formula>SUM(D86:D90)&lt;=0</formula>
    </cfRule>
  </conditionalFormatting>
  <conditionalFormatting sqref="E101">
    <cfRule type="expression" dxfId="87" priority="784" stopIfTrue="1">
      <formula>SUM(D86:D101)&lt;=0</formula>
    </cfRule>
    <cfRule type="expression" dxfId="86" priority="785" stopIfTrue="1">
      <formula>D79=SUM(D86:D101)</formula>
    </cfRule>
    <cfRule type="expression" dxfId="85" priority="786" stopIfTrue="1">
      <formula>D79&lt;&gt;SUM(D86:D101)</formula>
    </cfRule>
  </conditionalFormatting>
  <conditionalFormatting sqref="E103">
    <cfRule type="expression" dxfId="84" priority="97" stopIfTrue="1">
      <formula>$D$103&gt;$D$77</formula>
    </cfRule>
    <cfRule type="expression" dxfId="83" priority="95" stopIfTrue="1">
      <formula>$D$103&lt;=0</formula>
    </cfRule>
    <cfRule type="expression" dxfId="82" priority="96" stopIfTrue="1">
      <formula>$D$103&lt;=$D$77</formula>
    </cfRule>
  </conditionalFormatting>
  <conditionalFormatting sqref="E104">
    <cfRule type="expression" dxfId="81" priority="94" stopIfTrue="1">
      <formula>$D$104&gt;$D$78</formula>
    </cfRule>
    <cfRule type="expression" dxfId="80" priority="92" stopIfTrue="1">
      <formula>$D$104&lt;=0</formula>
    </cfRule>
    <cfRule type="expression" dxfId="79" priority="93" stopIfTrue="1">
      <formula>$D$104&lt;=$D$78</formula>
    </cfRule>
  </conditionalFormatting>
  <conditionalFormatting sqref="E110">
    <cfRule type="expression" dxfId="78" priority="790" stopIfTrue="1">
      <formula>$D$110&lt;=0</formula>
    </cfRule>
    <cfRule type="expression" dxfId="77" priority="791" stopIfTrue="1">
      <formula>D110&gt;SUM(D16,F16,H16)</formula>
    </cfRule>
    <cfRule type="expression" dxfId="76" priority="792" stopIfTrue="1">
      <formula>D110&lt;=SUM(D16,F16,H16)</formula>
    </cfRule>
  </conditionalFormatting>
  <conditionalFormatting sqref="E112">
    <cfRule type="expression" dxfId="75" priority="80" stopIfTrue="1">
      <formula>SUM($D$111:$D$112)&lt;=0</formula>
    </cfRule>
    <cfRule type="expression" dxfId="74" priority="81" stopIfTrue="1">
      <formula>SUM(D111:D112)=D110</formula>
    </cfRule>
    <cfRule type="expression" dxfId="73" priority="82" stopIfTrue="1">
      <formula>SUM(D111:D112)&lt;&gt;D110</formula>
    </cfRule>
  </conditionalFormatting>
  <conditionalFormatting sqref="E118">
    <cfRule type="expression" dxfId="72" priority="793" stopIfTrue="1">
      <formula>SUM(D114:D118)&lt;=0</formula>
    </cfRule>
    <cfRule type="expression" dxfId="71" priority="794" stopIfTrue="1">
      <formula>D110&lt;&gt;SUM(D114:D118)</formula>
    </cfRule>
    <cfRule type="expression" dxfId="70" priority="795" stopIfTrue="1">
      <formula>D110=SUM(D114:D118)</formula>
    </cfRule>
  </conditionalFormatting>
  <conditionalFormatting sqref="E129">
    <cfRule type="expression" dxfId="69" priority="598" stopIfTrue="1">
      <formula>SUM(D114:D129)&lt;=0</formula>
    </cfRule>
    <cfRule type="expression" dxfId="68" priority="599" stopIfTrue="1">
      <formula>D110=SUM(D114:D129)</formula>
    </cfRule>
    <cfRule type="expression" dxfId="67" priority="600" stopIfTrue="1">
      <formula>D110&lt;&gt;SUM(D114:D129)</formula>
    </cfRule>
  </conditionalFormatting>
  <conditionalFormatting sqref="E131">
    <cfRule type="expression" dxfId="66" priority="799" stopIfTrue="1">
      <formula>D131&gt;D109</formula>
    </cfRule>
  </conditionalFormatting>
  <conditionalFormatting sqref="E131:E132">
    <cfRule type="expression" dxfId="65" priority="801" stopIfTrue="1">
      <formula>D131&lt;=D109</formula>
    </cfRule>
    <cfRule type="expression" dxfId="64" priority="800" stopIfTrue="1">
      <formula>SUM(D131)&lt;=0</formula>
    </cfRule>
  </conditionalFormatting>
  <conditionalFormatting sqref="E132">
    <cfRule type="expression" dxfId="63" priority="88" stopIfTrue="1">
      <formula>"D121&gt;D100"</formula>
    </cfRule>
  </conditionalFormatting>
  <conditionalFormatting sqref="E137">
    <cfRule type="expression" dxfId="62" priority="159" stopIfTrue="1">
      <formula>$D$137&lt;=0</formula>
    </cfRule>
    <cfRule type="expression" dxfId="61" priority="160" stopIfTrue="1">
      <formula>$D$137&gt;$D$136</formula>
    </cfRule>
    <cfRule type="expression" dxfId="60" priority="161" stopIfTrue="1">
      <formula>$D$137&lt;=$D$136</formula>
    </cfRule>
  </conditionalFormatting>
  <conditionalFormatting sqref="E138">
    <cfRule type="expression" dxfId="59" priority="157" stopIfTrue="1">
      <formula>$D$138&gt;$D$136</formula>
    </cfRule>
    <cfRule type="expression" dxfId="58" priority="158" stopIfTrue="1">
      <formula>$D$138&lt;=$D$136</formula>
    </cfRule>
    <cfRule type="expression" dxfId="57" priority="156" stopIfTrue="1">
      <formula>$D$138&lt;=0</formula>
    </cfRule>
  </conditionalFormatting>
  <conditionalFormatting sqref="E139">
    <cfRule type="expression" dxfId="56" priority="164" stopIfTrue="1">
      <formula>$D$139&lt;=$D$136</formula>
    </cfRule>
    <cfRule type="expression" dxfId="55" priority="162" stopIfTrue="1">
      <formula>$D$139&lt;=0</formula>
    </cfRule>
    <cfRule type="expression" dxfId="54" priority="163" stopIfTrue="1">
      <formula>$D$139&gt;$D$136</formula>
    </cfRule>
  </conditionalFormatting>
  <conditionalFormatting sqref="E140">
    <cfRule type="expression" dxfId="53" priority="165">
      <formula>$D$140&lt;=0</formula>
    </cfRule>
    <cfRule type="expression" dxfId="52" priority="166">
      <formula>$D$140&gt;$D$136</formula>
    </cfRule>
    <cfRule type="expression" dxfId="51" priority="167">
      <formula>$D$140&lt;=$D$136</formula>
    </cfRule>
  </conditionalFormatting>
  <conditionalFormatting sqref="E157">
    <cfRule type="expression" dxfId="50" priority="170" stopIfTrue="1">
      <formula>SUM($D$148:$D$157)=$D$145</formula>
    </cfRule>
    <cfRule type="expression" dxfId="49" priority="168" stopIfTrue="1">
      <formula>SUM($D$148:$D$157)&lt;=0</formula>
    </cfRule>
    <cfRule type="expression" dxfId="48" priority="169" stopIfTrue="1">
      <formula>SUM($D$148:$D$157)&lt;&gt;$D$145</formula>
    </cfRule>
  </conditionalFormatting>
  <conditionalFormatting sqref="E181">
    <cfRule type="expression" dxfId="47" priority="171" stopIfTrue="1">
      <formula>SUM($D$162:$D$181)&lt;=0</formula>
    </cfRule>
    <cfRule type="expression" dxfId="46" priority="172" stopIfTrue="1">
      <formula>SUM($D$162:$D$181)&lt;&gt;$D$159</formula>
    </cfRule>
    <cfRule type="expression" dxfId="45" priority="173" stopIfTrue="1">
      <formula>SUM($D$162:$D$181)=$D$159</formula>
    </cfRule>
  </conditionalFormatting>
  <conditionalFormatting sqref="E190">
    <cfRule type="expression" dxfId="44" priority="148" stopIfTrue="1">
      <formula>SUM(D189:D190)&lt;&gt;#REF!</formula>
    </cfRule>
    <cfRule type="expression" dxfId="43" priority="149" stopIfTrue="1">
      <formula>SUM(D189:D190)=#REF!</formula>
    </cfRule>
    <cfRule type="expression" dxfId="42" priority="147" stopIfTrue="1">
      <formula>SUM(D189:D190)&lt;=0</formula>
    </cfRule>
  </conditionalFormatting>
  <conditionalFormatting sqref="E203">
    <cfRule type="expression" dxfId="41" priority="4" stopIfTrue="1">
      <formula>SUM($D$188:$D$203)&lt;=0</formula>
    </cfRule>
    <cfRule type="expression" dxfId="40" priority="5" stopIfTrue="1">
      <formula>SUM($D$188:$D$203)&lt;&gt;$D$45</formula>
    </cfRule>
    <cfRule type="expression" dxfId="39" priority="6" stopIfTrue="1">
      <formula>SUM($D$188:$D$203)=$D$45</formula>
    </cfRule>
  </conditionalFormatting>
  <conditionalFormatting sqref="G16">
    <cfRule type="expression" dxfId="38" priority="50" stopIfTrue="1">
      <formula>F16&lt;(F15*2)</formula>
    </cfRule>
    <cfRule type="expression" dxfId="37" priority="51" stopIfTrue="1">
      <formula>F16&gt;=(F15*2)</formula>
    </cfRule>
    <cfRule type="expression" dxfId="36" priority="49" stopIfTrue="1">
      <formula>SUM(F16)&lt;=0</formula>
    </cfRule>
  </conditionalFormatting>
  <conditionalFormatting sqref="G51">
    <cfRule type="expression" dxfId="35" priority="45" stopIfTrue="1">
      <formula>$F$51&gt;$F$16</formula>
    </cfRule>
    <cfRule type="expression" dxfId="34" priority="44" stopIfTrue="1">
      <formula>$F$51&lt;=$F$16</formula>
    </cfRule>
    <cfRule type="expression" dxfId="33" priority="43" stopIfTrue="1">
      <formula>SUM($F$51)&lt;=0</formula>
    </cfRule>
  </conditionalFormatting>
  <conditionalFormatting sqref="G52">
    <cfRule type="expression" dxfId="32" priority="46" stopIfTrue="1">
      <formula>SUM($F$52)&lt;=0</formula>
    </cfRule>
    <cfRule type="expression" dxfId="31" priority="47" stopIfTrue="1">
      <formula>$F$52&lt;=$F$51</formula>
    </cfRule>
    <cfRule type="expression" dxfId="30" priority="48" stopIfTrue="1">
      <formula>$F$52&gt;$F$51</formula>
    </cfRule>
  </conditionalFormatting>
  <conditionalFormatting sqref="G69">
    <cfRule type="expression" dxfId="29" priority="771" stopIfTrue="1">
      <formula>SUM(F54:F69)=F52</formula>
    </cfRule>
    <cfRule type="expression" dxfId="28" priority="770" stopIfTrue="1">
      <formula>SUM(F54:F69)&lt;&gt;F52</formula>
    </cfRule>
    <cfRule type="expression" dxfId="27" priority="769" stopIfTrue="1">
      <formula>SUM(F54:F69)&lt;=0</formula>
    </cfRule>
  </conditionalFormatting>
  <conditionalFormatting sqref="G71">
    <cfRule type="expression" dxfId="26" priority="39" stopIfTrue="1">
      <formula>$F$71&gt;$F$50</formula>
    </cfRule>
    <cfRule type="expression" dxfId="25" priority="38" stopIfTrue="1">
      <formula>$F$71&lt;=$F$50</formula>
    </cfRule>
    <cfRule type="expression" dxfId="24" priority="37" stopIfTrue="1">
      <formula>SUM($F$71)&lt;=0</formula>
    </cfRule>
  </conditionalFormatting>
  <conditionalFormatting sqref="G72">
    <cfRule type="expression" dxfId="23" priority="42" stopIfTrue="1">
      <formula>$F$72&gt;$F$51</formula>
    </cfRule>
    <cfRule type="expression" dxfId="22" priority="41" stopIfTrue="1">
      <formula>$F$72&lt;=$F$51</formula>
    </cfRule>
    <cfRule type="expression" dxfId="21" priority="40" stopIfTrue="1">
      <formula>SUM($F$72)&lt;=0</formula>
    </cfRule>
  </conditionalFormatting>
  <conditionalFormatting sqref="G190">
    <cfRule type="expression" dxfId="20" priority="55" stopIfTrue="1">
      <formula>SUM(F189:F190)&lt;&gt;F$16</formula>
    </cfRule>
    <cfRule type="expression" dxfId="19" priority="56" stopIfTrue="1">
      <formula>SUM(F189:F190)=F$16</formula>
    </cfRule>
    <cfRule type="expression" dxfId="18" priority="54" stopIfTrue="1">
      <formula>SUM(F189:F190)&lt;=0</formula>
    </cfRule>
  </conditionalFormatting>
  <conditionalFormatting sqref="G203">
    <cfRule type="expression" dxfId="17" priority="9" stopIfTrue="1">
      <formula>SUM($F$188:$F$203)=$F$45</formula>
    </cfRule>
    <cfRule type="expression" dxfId="16" priority="7" stopIfTrue="1">
      <formula>SUM($F$188:$F$203)&lt;=0</formula>
    </cfRule>
    <cfRule type="expression" dxfId="15" priority="8" stopIfTrue="1">
      <formula>SUM($F$188:$F$203)&lt;&gt;$F$45</formula>
    </cfRule>
  </conditionalFormatting>
  <conditionalFormatting sqref="I16">
    <cfRule type="expression" dxfId="14" priority="14" stopIfTrue="1">
      <formula>H16&lt;H15</formula>
    </cfRule>
    <cfRule type="expression" dxfId="13" priority="13" stopIfTrue="1">
      <formula>SUM(H16)&lt;=0</formula>
    </cfRule>
    <cfRule type="expression" dxfId="12" priority="15" stopIfTrue="1">
      <formula>H16&gt;=H15</formula>
    </cfRule>
  </conditionalFormatting>
  <conditionalFormatting sqref="I25">
    <cfRule type="expression" dxfId="11" priority="213" stopIfTrue="1">
      <formula>SUM(H18,H25)=H$16</formula>
    </cfRule>
    <cfRule type="expression" dxfId="10" priority="212" stopIfTrue="1">
      <formula>SUM(H18,H25)&lt;&gt;H$16</formula>
    </cfRule>
    <cfRule type="expression" dxfId="9" priority="211" stopIfTrue="1">
      <formula>SUM(H18,H25)&lt;=0</formula>
    </cfRule>
  </conditionalFormatting>
  <conditionalFormatting sqref="I42">
    <cfRule type="expression" dxfId="8" priority="334" stopIfTrue="1">
      <formula>SUM(H27:H42)=H$16</formula>
    </cfRule>
    <cfRule type="expression" dxfId="7" priority="333" stopIfTrue="1">
      <formula>SUM(H27:H42)&lt;=0</formula>
    </cfRule>
    <cfRule type="expression" dxfId="6" priority="335" stopIfTrue="1">
      <formula>SUM(H27:H42)&lt;&gt;H$16</formula>
    </cfRule>
  </conditionalFormatting>
  <conditionalFormatting sqref="I190">
    <cfRule type="expression" dxfId="5" priority="26" stopIfTrue="1">
      <formula>SUM(H189:H190)=#REF!</formula>
    </cfRule>
    <cfRule type="expression" dxfId="4" priority="25" stopIfTrue="1">
      <formula>SUM(H189:H190)&lt;&gt;#REF!</formula>
    </cfRule>
    <cfRule type="expression" dxfId="3" priority="24" stopIfTrue="1">
      <formula>SUM(H189:H190)&lt;=0</formula>
    </cfRule>
  </conditionalFormatting>
  <conditionalFormatting sqref="I203">
    <cfRule type="expression" dxfId="2" priority="32" stopIfTrue="1">
      <formula>SUM($H$188:$H$203)&lt;=0</formula>
    </cfRule>
    <cfRule type="expression" dxfId="1" priority="34" stopIfTrue="1">
      <formula>SUM($H$188:$H$203)=$H$45</formula>
    </cfRule>
    <cfRule type="expression" dxfId="0" priority="33" stopIfTrue="1">
      <formula>SUM($H$188:$H$203)&lt;&gt;$H$45</formula>
    </cfRule>
  </conditionalFormatting>
  <dataValidations xWindow="595" yWindow="695" count="23">
    <dataValidation allowBlank="1" showInputMessage="1" showErrorMessage="1" sqref="C8" xr:uid="{88382ED4-0124-4B9A-B99E-4DFDBE93D223}"/>
    <dataValidation allowBlank="1" showInputMessage="1" showErrorMessage="1" prompt="Red X = more households entered than the number of clients. " sqref="G16 I16 E16" xr:uid="{DA016364-2C1E-481C-8FC2-8567323CA85B}"/>
    <dataValidation allowBlank="1" showInputMessage="1" showErrorMessage="1" prompt="Red X = the number of responses do not match up with the total number of clients entered. _x000a_Green Check = the number of responses matches up with the total number of clients entered. " sqref="I25" xr:uid="{0D809592-BBA2-470A-AE5F-ED3BB529DCAB}"/>
    <dataValidation allowBlank="1" showInputMessage="1" showErrorMessage="1" prompt="Red X = there are more clients in veteran households than the total number of clients entered for this project. " sqref="G51 E51" xr:uid="{1400E5DD-AE1C-4E3C-928C-BC09C13CBC81}"/>
    <dataValidation allowBlank="1" showInputMessage="1" showErrorMessage="1" prompt="Red X = there are more clients identified as veterans than the total number of clients in veteran households. " sqref="G52 E52" xr:uid="{414A201B-8A7F-407D-9CCF-17464A7F9808}"/>
    <dataValidation allowBlank="1" showInputMessage="1" showErrorMessage="1" prompt="Red X = the total number of responses for veteran clients only is not equal to the total number of veteran clients. " sqref="G69 E69" xr:uid="{6995C35C-5254-4F11-9E8D-2D9FE1F14315}"/>
    <dataValidation allowBlank="1" showInputMessage="1" showErrorMessage="1" prompt="Red X = the total number of chronic persons in veteran households is more than the total number of clients in veteran households. " sqref="G72 E72" xr:uid="{96F1E497-564C-46B9-A415-7F1CC6D2A3D9}"/>
    <dataValidation allowBlank="1" showInputMessage="1" showErrorMessage="1" prompt="Red X = the total number of chronic, veteran households is greater than the total number of veteran households. " sqref="G71" xr:uid="{81B05D24-9B45-41EE-8FFF-AFB46777ECAC}"/>
    <dataValidation allowBlank="1" showInputMessage="1" showErrorMessage="1" prompt="Red X = the total number of clients in PY Households is greater than the number of clients in Adults &amp; Children and Children Only Households. " sqref="E78" xr:uid="{EF6436FE-038B-4743-AD26-4538AD09B75E}"/>
    <dataValidation allowBlank="1" showInputMessage="1" showErrorMessage="1" prompt="Red X = the total number of children in Parenting Youth Households is not equal to the total number of clients in Parenting Youth Households. " sqref="E80" xr:uid="{7CF30C91-8863-4F62-B659-173F67B3E69E}"/>
    <dataValidation allowBlank="1" showInputMessage="1" showErrorMessage="1" prompt="Red X = the total number of responses for Parenting Youth clients only is not equal to the total number of Parenting Youth clients. " sqref="E101" xr:uid="{E14A3D4B-150B-497B-9801-1CFA1C4AC683}"/>
    <dataValidation allowBlank="1" showInputMessage="1" showErrorMessage="1" prompt="Red X = the total number of chronic, Parenting Youth households is greater than the number of Parenting Youth households. " sqref="E103" xr:uid="{17791692-F80F-48DA-9771-4BB54859CC1A}"/>
    <dataValidation allowBlank="1" showInputMessage="1" showErrorMessage="1" prompt="Red X = the total number of clients in chronic, Parenting Youth households is greater than the number of clients in Parenting Youth households. " sqref="E104" xr:uid="{3E4ED97C-8F96-44CB-9CD9-96736475ACDE}"/>
    <dataValidation allowBlank="1" showInputMessage="1" showErrorMessage="1" prompt="Red X = the total number of clients in Unaccompanied Youth Households is greater than the number of clients for the whole project. " sqref="E110" xr:uid="{FFCF0F03-42A7-4EAC-AEE2-60F73A2CCF02}"/>
    <dataValidation allowBlank="1" showInputMessage="1" showErrorMessage="1" prompt="Red X = the total number of clients age 18-24 is greater than the total number of clients in Unaccompanied Youth Households. " sqref="E112" xr:uid="{4A2C29BA-206A-4D9E-AB4B-E7D43C7AF098}"/>
    <dataValidation allowBlank="1" showInputMessage="1" showErrorMessage="1" prompt="Red X = the total number of responses for Unaccompanied Youth clients only is not equal to the total number of Unaccompanied Youth clients. " sqref="E129" xr:uid="{4BE7EE8E-7F2E-4295-B6C1-082E0D2B8B2C}"/>
    <dataValidation allowBlank="1" showInputMessage="1" showErrorMessage="1" prompt="Red X = the total number of chronic, Unaccompanied Youth households is greater than the number of Unaccompanied Youth households. " sqref="E131" xr:uid="{B28D5E91-F0FF-4C98-9F0E-5BB8F3CA9B92}"/>
    <dataValidation allowBlank="1" showInputMessage="1" showErrorMessage="1" prompt="Red X = the total number of clients in chronic, Unaccompanied Youth households is greater than the number of clients in Unaccompanied Youth households. " sqref="E132" xr:uid="{19A0FC46-EC46-40A4-9A61-2D81219C8AB1}"/>
    <dataValidation allowBlank="1" showInputMessage="1" showErrorMessage="1" prompt="Red X = the total number of responses is not equal to the total number of Adult clients recorded for this project. " sqref="E137 E138:E140" xr:uid="{6E0FD2D5-9D83-4980-8FA2-57DA0C984007}"/>
    <dataValidation allowBlank="1" showInputMessage="1" showErrorMessage="1" prompt="Red X = the total number of responses is not equal to the total number of clients recorded for this project. " sqref="E157 E181" xr:uid="{39828E92-FE6C-41C3-B05F-C0DB14481075}"/>
    <dataValidation allowBlank="1" showInputMessage="1" showErrorMessage="1" prompt="Red X = the total number of responses is not equal to the total number of persons in chronic households. " sqref="I203 G203 E203" xr:uid="{CEAB3D21-8AC6-46FA-937A-AF6F2D3A7C0B}"/>
    <dataValidation showInputMessage="1" showErrorMessage="1" sqref="C6 C9:C10" xr:uid="{DE2E06FC-052F-4893-B3EF-518A1FCAF356}"/>
    <dataValidation allowBlank="1" showInputMessage="1" showErrorMessage="1" prompt="Red X = the number of responses do not match up with the total number of clients entered. " sqref="I42 G25 E42 G42 E25" xr:uid="{17BAEF4F-357B-41BD-ADBF-68E82502B09C}"/>
  </dataValidations>
  <hyperlinks>
    <hyperlink ref="B3:I3" r:id="rId1" display="A guide on using this workbook is available from the ICA Missouri Knowledge Base. " xr:uid="{4248E5DB-8B8A-485C-92A6-5E083D9665C7}"/>
  </hyperlinks>
  <pageMargins left="0.25" right="0.25" top="0.75" bottom="0.75" header="0" footer="0"/>
  <pageSetup orientation="landscape"/>
  <headerFooter>
    <oddFooter>&amp;CPage  &amp;P of</oddFooter>
  </headerFooter>
  <rowBreaks count="5" manualBreakCount="5">
    <brk id="46" man="1"/>
    <brk id="182" man="1"/>
    <brk id="105" man="1"/>
    <brk id="142" man="1"/>
    <brk id="7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40FD-5F1B-4F2C-A03C-A8B541F385E2}">
  <sheetPr codeName="Sheet3"/>
  <dimension ref="A1:R135"/>
  <sheetViews>
    <sheetView topLeftCell="A100" workbookViewId="0">
      <selection activeCell="O80" sqref="O80:O91"/>
    </sheetView>
  </sheetViews>
  <sheetFormatPr defaultRowHeight="14.25" x14ac:dyDescent="0.2"/>
  <cols>
    <col min="17" max="17" width="24.75" customWidth="1"/>
  </cols>
  <sheetData>
    <row r="1" spans="1:18" ht="15" x14ac:dyDescent="0.25">
      <c r="A1" s="242" t="s">
        <v>134</v>
      </c>
      <c r="B1" s="237"/>
      <c r="D1" s="243" t="s">
        <v>135</v>
      </c>
      <c r="E1" s="219"/>
      <c r="G1" s="5" t="s">
        <v>5</v>
      </c>
      <c r="I1" s="5" t="s">
        <v>6</v>
      </c>
      <c r="O1" s="7" t="s">
        <v>136</v>
      </c>
      <c r="R1" s="7" t="s">
        <v>137</v>
      </c>
    </row>
    <row r="2" spans="1:18" ht="15" x14ac:dyDescent="0.25">
      <c r="A2" s="2" t="s">
        <v>138</v>
      </c>
      <c r="B2" s="2" t="s">
        <v>139</v>
      </c>
      <c r="D2" s="2" t="s">
        <v>138</v>
      </c>
      <c r="E2" s="2" t="s">
        <v>139</v>
      </c>
      <c r="G2" s="6" t="s">
        <v>140</v>
      </c>
      <c r="I2" s="7" t="s">
        <v>141</v>
      </c>
      <c r="N2" s="7" t="s">
        <v>140</v>
      </c>
      <c r="O2" s="7" t="s">
        <v>140</v>
      </c>
      <c r="R2" s="7" t="s">
        <v>140</v>
      </c>
    </row>
    <row r="3" spans="1:18" ht="15" x14ac:dyDescent="0.25">
      <c r="A3" s="3" t="s">
        <v>142</v>
      </c>
      <c r="B3" s="1">
        <v>3</v>
      </c>
      <c r="D3" s="3" t="s">
        <v>142</v>
      </c>
      <c r="E3" s="1">
        <v>3</v>
      </c>
      <c r="G3" s="6" t="s">
        <v>143</v>
      </c>
      <c r="I3" s="6" t="s">
        <v>144</v>
      </c>
      <c r="O3" t="s">
        <v>145</v>
      </c>
      <c r="R3" t="s">
        <v>146</v>
      </c>
    </row>
    <row r="4" spans="1:18" ht="15" x14ac:dyDescent="0.25">
      <c r="A4" s="3" t="s">
        <v>147</v>
      </c>
      <c r="B4" s="1">
        <v>4</v>
      </c>
      <c r="D4" s="3" t="s">
        <v>148</v>
      </c>
      <c r="E4" s="1" t="s">
        <v>149</v>
      </c>
      <c r="G4" s="6" t="s">
        <v>150</v>
      </c>
      <c r="I4" s="6" t="s">
        <v>151</v>
      </c>
      <c r="O4" t="s">
        <v>152</v>
      </c>
      <c r="R4" t="s">
        <v>153</v>
      </c>
    </row>
    <row r="5" spans="1:18" ht="15" x14ac:dyDescent="0.25">
      <c r="A5" s="3" t="s">
        <v>154</v>
      </c>
      <c r="B5" s="1">
        <v>5</v>
      </c>
      <c r="D5" s="3" t="s">
        <v>147</v>
      </c>
      <c r="E5" s="1">
        <v>4</v>
      </c>
      <c r="G5" s="6" t="s">
        <v>155</v>
      </c>
      <c r="I5" s="6" t="s">
        <v>156</v>
      </c>
      <c r="O5" t="s">
        <v>500</v>
      </c>
      <c r="R5" t="s">
        <v>158</v>
      </c>
    </row>
    <row r="6" spans="1:18" ht="15" x14ac:dyDescent="0.25">
      <c r="A6" s="3" t="s">
        <v>39</v>
      </c>
      <c r="B6" s="1">
        <v>9</v>
      </c>
      <c r="D6" s="3" t="s">
        <v>154</v>
      </c>
      <c r="E6" s="1">
        <v>5</v>
      </c>
      <c r="G6" s="6"/>
      <c r="I6" s="6" t="s">
        <v>159</v>
      </c>
      <c r="O6" t="s">
        <v>157</v>
      </c>
      <c r="R6" t="s">
        <v>447</v>
      </c>
    </row>
    <row r="7" spans="1:18" ht="15" x14ac:dyDescent="0.25">
      <c r="A7" s="3" t="s">
        <v>38</v>
      </c>
      <c r="B7" s="1">
        <v>9</v>
      </c>
      <c r="D7" s="3" t="s">
        <v>39</v>
      </c>
      <c r="E7" s="1">
        <v>9</v>
      </c>
      <c r="I7" s="6" t="s">
        <v>160</v>
      </c>
      <c r="O7" t="s">
        <v>161</v>
      </c>
      <c r="R7" t="s">
        <v>448</v>
      </c>
    </row>
    <row r="8" spans="1:18" ht="15" x14ac:dyDescent="0.25">
      <c r="A8" s="3" t="s">
        <v>162</v>
      </c>
      <c r="B8" s="1">
        <v>10</v>
      </c>
      <c r="D8" s="3" t="s">
        <v>38</v>
      </c>
      <c r="E8" s="1">
        <v>9</v>
      </c>
      <c r="I8" s="6" t="s">
        <v>163</v>
      </c>
      <c r="O8" t="s">
        <v>501</v>
      </c>
      <c r="R8" t="s">
        <v>171</v>
      </c>
    </row>
    <row r="9" spans="1:18" ht="15" x14ac:dyDescent="0.25">
      <c r="A9" s="3" t="s">
        <v>164</v>
      </c>
      <c r="B9" s="1">
        <v>10</v>
      </c>
      <c r="D9" s="3" t="s">
        <v>162</v>
      </c>
      <c r="E9" s="1">
        <v>10</v>
      </c>
      <c r="O9" t="s">
        <v>502</v>
      </c>
      <c r="R9" t="s">
        <v>175</v>
      </c>
    </row>
    <row r="10" spans="1:18" ht="15" x14ac:dyDescent="0.25">
      <c r="A10" s="3" t="s">
        <v>165</v>
      </c>
      <c r="B10" s="1">
        <v>1</v>
      </c>
      <c r="D10" s="3" t="s">
        <v>164</v>
      </c>
      <c r="E10" s="1">
        <v>10</v>
      </c>
      <c r="O10" t="s">
        <v>503</v>
      </c>
      <c r="R10" t="s">
        <v>449</v>
      </c>
    </row>
    <row r="11" spans="1:18" ht="15" x14ac:dyDescent="0.25">
      <c r="A11" s="3" t="s">
        <v>167</v>
      </c>
      <c r="B11" s="1">
        <v>5</v>
      </c>
      <c r="D11" s="3" t="s">
        <v>165</v>
      </c>
      <c r="E11" s="1">
        <v>1</v>
      </c>
      <c r="G11" s="7" t="s">
        <v>427</v>
      </c>
      <c r="O11" t="s">
        <v>168</v>
      </c>
      <c r="R11" t="s">
        <v>450</v>
      </c>
    </row>
    <row r="12" spans="1:18" ht="15" x14ac:dyDescent="0.25">
      <c r="A12" s="3" t="s">
        <v>169</v>
      </c>
      <c r="B12" s="1">
        <v>7</v>
      </c>
      <c r="D12" s="3" t="s">
        <v>167</v>
      </c>
      <c r="E12" s="1">
        <v>5</v>
      </c>
      <c r="G12" s="7" t="s">
        <v>428</v>
      </c>
      <c r="O12" t="s">
        <v>170</v>
      </c>
      <c r="R12" t="s">
        <v>451</v>
      </c>
    </row>
    <row r="13" spans="1:18" ht="15" x14ac:dyDescent="0.25">
      <c r="A13" s="3" t="s">
        <v>172</v>
      </c>
      <c r="B13" s="1">
        <v>4</v>
      </c>
      <c r="D13" s="3" t="s">
        <v>173</v>
      </c>
      <c r="E13" s="1" t="s">
        <v>149</v>
      </c>
      <c r="G13" s="7" t="s">
        <v>431</v>
      </c>
      <c r="O13" t="s">
        <v>166</v>
      </c>
      <c r="R13" t="s">
        <v>187</v>
      </c>
    </row>
    <row r="14" spans="1:18" ht="15" x14ac:dyDescent="0.25">
      <c r="A14" s="3" t="s">
        <v>176</v>
      </c>
      <c r="B14" s="1">
        <v>5</v>
      </c>
      <c r="D14" s="3" t="s">
        <v>169</v>
      </c>
      <c r="E14" s="1">
        <v>7</v>
      </c>
      <c r="G14" s="7" t="s">
        <v>430</v>
      </c>
      <c r="O14" t="s">
        <v>174</v>
      </c>
      <c r="R14" t="s">
        <v>189</v>
      </c>
    </row>
    <row r="15" spans="1:18" ht="15" x14ac:dyDescent="0.25">
      <c r="A15" s="3" t="s">
        <v>178</v>
      </c>
      <c r="B15" s="1">
        <v>5</v>
      </c>
      <c r="D15" s="3" t="s">
        <v>172</v>
      </c>
      <c r="E15" s="1">
        <v>4</v>
      </c>
      <c r="O15" t="s">
        <v>177</v>
      </c>
      <c r="R15" t="s">
        <v>452</v>
      </c>
    </row>
    <row r="16" spans="1:18" ht="15" x14ac:dyDescent="0.25">
      <c r="A16" s="3" t="s">
        <v>180</v>
      </c>
      <c r="B16" s="1">
        <v>1</v>
      </c>
      <c r="D16" s="3" t="s">
        <v>176</v>
      </c>
      <c r="E16" s="1">
        <v>5</v>
      </c>
      <c r="O16" t="s">
        <v>179</v>
      </c>
      <c r="R16" t="s">
        <v>184</v>
      </c>
    </row>
    <row r="17" spans="1:18" ht="15" x14ac:dyDescent="0.25">
      <c r="A17" s="3" t="s">
        <v>182</v>
      </c>
      <c r="B17" s="1">
        <v>4</v>
      </c>
      <c r="D17" s="3" t="s">
        <v>178</v>
      </c>
      <c r="E17" s="1">
        <v>5</v>
      </c>
      <c r="O17" t="s">
        <v>181</v>
      </c>
      <c r="R17" t="s">
        <v>194</v>
      </c>
    </row>
    <row r="18" spans="1:18" ht="15" x14ac:dyDescent="0.25">
      <c r="A18" s="3" t="s">
        <v>183</v>
      </c>
      <c r="B18" s="1">
        <v>7</v>
      </c>
      <c r="D18" s="3" t="s">
        <v>180</v>
      </c>
      <c r="E18" s="1">
        <v>1</v>
      </c>
      <c r="O18" t="s">
        <v>504</v>
      </c>
      <c r="R18" t="s">
        <v>197</v>
      </c>
    </row>
    <row r="19" spans="1:18" ht="15" x14ac:dyDescent="0.25">
      <c r="A19" s="3" t="s">
        <v>185</v>
      </c>
      <c r="B19" s="1">
        <v>10</v>
      </c>
      <c r="D19" s="3" t="s">
        <v>182</v>
      </c>
      <c r="E19" s="1">
        <v>4</v>
      </c>
      <c r="O19" t="s">
        <v>186</v>
      </c>
      <c r="R19" t="s">
        <v>407</v>
      </c>
    </row>
    <row r="20" spans="1:18" ht="15" x14ac:dyDescent="0.25">
      <c r="A20" s="3" t="s">
        <v>188</v>
      </c>
      <c r="B20" s="1">
        <v>9</v>
      </c>
      <c r="D20" s="3" t="s">
        <v>183</v>
      </c>
      <c r="E20" s="1">
        <v>7</v>
      </c>
      <c r="O20" t="s">
        <v>505</v>
      </c>
      <c r="R20" t="s">
        <v>202</v>
      </c>
    </row>
    <row r="21" spans="1:18" ht="15" x14ac:dyDescent="0.25">
      <c r="A21" s="3" t="s">
        <v>190</v>
      </c>
      <c r="B21" s="1">
        <v>3</v>
      </c>
      <c r="D21" s="3" t="s">
        <v>185</v>
      </c>
      <c r="E21" s="1">
        <v>10</v>
      </c>
      <c r="O21" t="s">
        <v>191</v>
      </c>
      <c r="R21" t="s">
        <v>417</v>
      </c>
    </row>
    <row r="22" spans="1:18" ht="15" x14ac:dyDescent="0.25">
      <c r="A22" s="3" t="s">
        <v>192</v>
      </c>
      <c r="B22" s="1">
        <v>3</v>
      </c>
      <c r="D22" s="3" t="s">
        <v>188</v>
      </c>
      <c r="E22" s="1">
        <v>9</v>
      </c>
      <c r="O22" t="s">
        <v>476</v>
      </c>
      <c r="R22" t="s">
        <v>453</v>
      </c>
    </row>
    <row r="23" spans="1:18" ht="15" x14ac:dyDescent="0.25">
      <c r="A23" s="3" t="s">
        <v>195</v>
      </c>
      <c r="B23" s="1">
        <v>4</v>
      </c>
      <c r="D23" s="3" t="s">
        <v>190</v>
      </c>
      <c r="E23" s="1">
        <v>3</v>
      </c>
      <c r="O23" t="s">
        <v>193</v>
      </c>
      <c r="R23" t="s">
        <v>454</v>
      </c>
    </row>
    <row r="24" spans="1:18" ht="15" x14ac:dyDescent="0.25">
      <c r="A24" s="3" t="s">
        <v>198</v>
      </c>
      <c r="B24" s="1">
        <v>4</v>
      </c>
      <c r="D24" s="3" t="s">
        <v>199</v>
      </c>
      <c r="E24" s="1" t="s">
        <v>149</v>
      </c>
      <c r="O24" t="s">
        <v>196</v>
      </c>
      <c r="R24" t="s">
        <v>210</v>
      </c>
    </row>
    <row r="25" spans="1:18" ht="15" x14ac:dyDescent="0.25">
      <c r="A25" s="3" t="s">
        <v>201</v>
      </c>
      <c r="B25" s="1">
        <v>5</v>
      </c>
      <c r="D25" s="3" t="s">
        <v>192</v>
      </c>
      <c r="E25" s="1">
        <v>3</v>
      </c>
      <c r="O25" t="s">
        <v>200</v>
      </c>
      <c r="R25" t="s">
        <v>455</v>
      </c>
    </row>
    <row r="26" spans="1:18" ht="15" x14ac:dyDescent="0.25">
      <c r="A26" s="3" t="s">
        <v>203</v>
      </c>
      <c r="B26" s="1">
        <v>5</v>
      </c>
      <c r="D26" s="3" t="s">
        <v>195</v>
      </c>
      <c r="E26" s="1">
        <v>4</v>
      </c>
      <c r="O26" t="s">
        <v>204</v>
      </c>
      <c r="R26" t="s">
        <v>456</v>
      </c>
    </row>
    <row r="27" spans="1:18" ht="15" x14ac:dyDescent="0.25">
      <c r="A27" s="3" t="s">
        <v>205</v>
      </c>
      <c r="B27" s="1">
        <v>1</v>
      </c>
      <c r="D27" s="3" t="s">
        <v>198</v>
      </c>
      <c r="E27" s="1">
        <v>4</v>
      </c>
      <c r="O27" t="s">
        <v>207</v>
      </c>
      <c r="R27" t="s">
        <v>216</v>
      </c>
    </row>
    <row r="28" spans="1:18" ht="15" x14ac:dyDescent="0.25">
      <c r="A28" s="3" t="s">
        <v>206</v>
      </c>
      <c r="B28" s="1">
        <v>9</v>
      </c>
      <c r="D28" s="3" t="s">
        <v>201</v>
      </c>
      <c r="E28" s="1">
        <v>5</v>
      </c>
      <c r="O28" t="s">
        <v>506</v>
      </c>
      <c r="R28" t="s">
        <v>457</v>
      </c>
    </row>
    <row r="29" spans="1:18" ht="15" x14ac:dyDescent="0.25">
      <c r="A29" s="3" t="s">
        <v>208</v>
      </c>
      <c r="B29" s="1">
        <v>9</v>
      </c>
      <c r="D29" s="3" t="s">
        <v>203</v>
      </c>
      <c r="E29" s="1">
        <v>5</v>
      </c>
      <c r="O29" t="s">
        <v>218</v>
      </c>
      <c r="R29" t="s">
        <v>220</v>
      </c>
    </row>
    <row r="30" spans="1:18" ht="15" x14ac:dyDescent="0.25">
      <c r="A30" s="3" t="s">
        <v>209</v>
      </c>
      <c r="B30" s="1">
        <v>4</v>
      </c>
      <c r="D30" s="3" t="s">
        <v>205</v>
      </c>
      <c r="E30" s="1">
        <v>1</v>
      </c>
      <c r="O30" t="s">
        <v>507</v>
      </c>
      <c r="R30" t="s">
        <v>458</v>
      </c>
    </row>
    <row r="31" spans="1:18" ht="15" x14ac:dyDescent="0.25">
      <c r="A31" s="3" t="s">
        <v>211</v>
      </c>
      <c r="B31" s="1">
        <v>8</v>
      </c>
      <c r="D31" s="3" t="s">
        <v>206</v>
      </c>
      <c r="E31" s="1">
        <v>9</v>
      </c>
      <c r="O31" t="s">
        <v>223</v>
      </c>
      <c r="R31" t="s">
        <v>459</v>
      </c>
    </row>
    <row r="32" spans="1:18" ht="15" x14ac:dyDescent="0.25">
      <c r="A32" s="3" t="s">
        <v>212</v>
      </c>
      <c r="B32" s="1">
        <v>8</v>
      </c>
      <c r="D32" s="3" t="s">
        <v>208</v>
      </c>
      <c r="E32" s="1">
        <v>9</v>
      </c>
      <c r="O32" t="s">
        <v>227</v>
      </c>
      <c r="R32" t="s">
        <v>230</v>
      </c>
    </row>
    <row r="33" spans="1:18" ht="15" x14ac:dyDescent="0.25">
      <c r="A33" s="3" t="s">
        <v>213</v>
      </c>
      <c r="B33" s="1">
        <v>6</v>
      </c>
      <c r="D33" s="3" t="s">
        <v>209</v>
      </c>
      <c r="E33" s="1">
        <v>4</v>
      </c>
      <c r="O33" t="s">
        <v>225</v>
      </c>
      <c r="R33" t="s">
        <v>230</v>
      </c>
    </row>
    <row r="34" spans="1:18" ht="15" x14ac:dyDescent="0.25">
      <c r="A34" s="3" t="s">
        <v>214</v>
      </c>
      <c r="B34" s="1">
        <v>1</v>
      </c>
      <c r="D34" s="3" t="s">
        <v>215</v>
      </c>
      <c r="E34" s="1" t="s">
        <v>149</v>
      </c>
      <c r="O34" t="s">
        <v>508</v>
      </c>
      <c r="R34" t="s">
        <v>234</v>
      </c>
    </row>
    <row r="35" spans="1:18" ht="15" x14ac:dyDescent="0.25">
      <c r="A35" s="3" t="s">
        <v>217</v>
      </c>
      <c r="B35" s="1">
        <v>5</v>
      </c>
      <c r="D35" s="3" t="s">
        <v>211</v>
      </c>
      <c r="E35" s="1">
        <v>8</v>
      </c>
      <c r="O35" t="s">
        <v>232</v>
      </c>
      <c r="R35" t="s">
        <v>460</v>
      </c>
    </row>
    <row r="36" spans="1:18" ht="15" x14ac:dyDescent="0.25">
      <c r="A36" s="3" t="s">
        <v>219</v>
      </c>
      <c r="B36" s="1">
        <v>4</v>
      </c>
      <c r="D36" s="3" t="s">
        <v>212</v>
      </c>
      <c r="E36" s="1">
        <v>8</v>
      </c>
      <c r="O36" t="s">
        <v>237</v>
      </c>
      <c r="R36" t="s">
        <v>253</v>
      </c>
    </row>
    <row r="37" spans="1:18" ht="15" x14ac:dyDescent="0.25">
      <c r="A37" s="3" t="s">
        <v>221</v>
      </c>
      <c r="B37" s="1">
        <v>4</v>
      </c>
      <c r="D37" s="3" t="s">
        <v>213</v>
      </c>
      <c r="E37" s="1">
        <v>6</v>
      </c>
      <c r="O37" t="s">
        <v>239</v>
      </c>
      <c r="R37" t="s">
        <v>461</v>
      </c>
    </row>
    <row r="38" spans="1:18" ht="15" x14ac:dyDescent="0.25">
      <c r="A38" s="3" t="s">
        <v>222</v>
      </c>
      <c r="B38" s="1">
        <v>4</v>
      </c>
      <c r="D38" s="3" t="s">
        <v>214</v>
      </c>
      <c r="E38" s="1">
        <v>1</v>
      </c>
      <c r="O38" t="s">
        <v>241</v>
      </c>
      <c r="R38" t="s">
        <v>257</v>
      </c>
    </row>
    <row r="39" spans="1:18" ht="15" x14ac:dyDescent="0.25">
      <c r="A39" s="3" t="s">
        <v>224</v>
      </c>
      <c r="B39" s="1">
        <v>10</v>
      </c>
      <c r="D39" s="3" t="s">
        <v>217</v>
      </c>
      <c r="E39" s="1">
        <v>5</v>
      </c>
      <c r="O39" t="s">
        <v>243</v>
      </c>
      <c r="R39" t="s">
        <v>462</v>
      </c>
    </row>
    <row r="40" spans="1:18" ht="15" x14ac:dyDescent="0.25">
      <c r="A40" s="3" t="s">
        <v>226</v>
      </c>
      <c r="B40" s="1">
        <v>9</v>
      </c>
      <c r="D40" s="3" t="s">
        <v>219</v>
      </c>
      <c r="E40" s="1">
        <v>4</v>
      </c>
      <c r="O40" t="s">
        <v>245</v>
      </c>
      <c r="R40" t="s">
        <v>260</v>
      </c>
    </row>
    <row r="41" spans="1:18" ht="15" x14ac:dyDescent="0.25">
      <c r="A41" s="3" t="s">
        <v>228</v>
      </c>
      <c r="B41" s="1">
        <v>4</v>
      </c>
      <c r="D41" s="3" t="s">
        <v>229</v>
      </c>
      <c r="E41" s="1" t="s">
        <v>149</v>
      </c>
      <c r="O41" t="s">
        <v>509</v>
      </c>
      <c r="R41" t="s">
        <v>463</v>
      </c>
    </row>
    <row r="42" spans="1:18" ht="15" x14ac:dyDescent="0.25">
      <c r="A42" s="3" t="s">
        <v>231</v>
      </c>
      <c r="B42" s="1">
        <v>5</v>
      </c>
      <c r="D42" s="3" t="s">
        <v>221</v>
      </c>
      <c r="E42" s="1">
        <v>4</v>
      </c>
      <c r="O42" t="s">
        <v>250</v>
      </c>
      <c r="R42" t="s">
        <v>270</v>
      </c>
    </row>
    <row r="43" spans="1:18" ht="15" x14ac:dyDescent="0.25">
      <c r="A43" s="3" t="s">
        <v>233</v>
      </c>
      <c r="B43" s="1">
        <v>8</v>
      </c>
      <c r="D43" s="3" t="s">
        <v>222</v>
      </c>
      <c r="E43" s="1">
        <v>4</v>
      </c>
      <c r="O43" t="s">
        <v>252</v>
      </c>
      <c r="R43" t="s">
        <v>408</v>
      </c>
    </row>
    <row r="44" spans="1:18" ht="15" x14ac:dyDescent="0.25">
      <c r="A44" s="3" t="s">
        <v>235</v>
      </c>
      <c r="B44" s="1">
        <v>1</v>
      </c>
      <c r="D44" s="3" t="s">
        <v>224</v>
      </c>
      <c r="E44" s="1">
        <v>10</v>
      </c>
      <c r="O44" t="s">
        <v>510</v>
      </c>
      <c r="R44" t="s">
        <v>277</v>
      </c>
    </row>
    <row r="45" spans="1:18" ht="15" x14ac:dyDescent="0.25">
      <c r="A45" s="3" t="s">
        <v>236</v>
      </c>
      <c r="B45" s="1">
        <v>1</v>
      </c>
      <c r="D45" s="3" t="s">
        <v>226</v>
      </c>
      <c r="E45" s="1">
        <v>9</v>
      </c>
      <c r="O45" t="s">
        <v>406</v>
      </c>
      <c r="R45" t="s">
        <v>280</v>
      </c>
    </row>
    <row r="46" spans="1:18" ht="15" x14ac:dyDescent="0.25">
      <c r="A46" s="3" t="s">
        <v>238</v>
      </c>
      <c r="B46" s="1">
        <v>10</v>
      </c>
      <c r="D46" s="3" t="s">
        <v>228</v>
      </c>
      <c r="E46" s="1">
        <v>4</v>
      </c>
      <c r="O46" t="s">
        <v>259</v>
      </c>
      <c r="R46" t="s">
        <v>283</v>
      </c>
    </row>
    <row r="47" spans="1:18" ht="15" x14ac:dyDescent="0.25">
      <c r="A47" s="3" t="s">
        <v>240</v>
      </c>
      <c r="B47" s="1">
        <v>3</v>
      </c>
      <c r="D47" s="3" t="s">
        <v>231</v>
      </c>
      <c r="E47" s="1">
        <v>5</v>
      </c>
      <c r="O47" t="s">
        <v>262</v>
      </c>
      <c r="R47" t="s">
        <v>464</v>
      </c>
    </row>
    <row r="48" spans="1:18" ht="15" x14ac:dyDescent="0.25">
      <c r="A48" s="3" t="s">
        <v>242</v>
      </c>
      <c r="B48" s="1">
        <v>8</v>
      </c>
      <c r="D48" s="3" t="s">
        <v>233</v>
      </c>
      <c r="E48" s="1">
        <v>8</v>
      </c>
      <c r="O48" t="s">
        <v>266</v>
      </c>
      <c r="R48" t="s">
        <v>465</v>
      </c>
    </row>
    <row r="49" spans="1:18" ht="15" x14ac:dyDescent="0.25">
      <c r="A49" s="3" t="s">
        <v>244</v>
      </c>
      <c r="B49" s="1">
        <v>10</v>
      </c>
      <c r="D49" s="3" t="s">
        <v>235</v>
      </c>
      <c r="E49" s="1">
        <v>1</v>
      </c>
      <c r="O49" t="s">
        <v>269</v>
      </c>
      <c r="R49" t="s">
        <v>289</v>
      </c>
    </row>
    <row r="50" spans="1:18" ht="15" x14ac:dyDescent="0.25">
      <c r="A50" s="3" t="s">
        <v>246</v>
      </c>
      <c r="B50" s="1">
        <v>9</v>
      </c>
      <c r="D50" s="3" t="s">
        <v>247</v>
      </c>
      <c r="E50" s="1" t="s">
        <v>149</v>
      </c>
      <c r="O50" t="s">
        <v>511</v>
      </c>
      <c r="R50" t="s">
        <v>466</v>
      </c>
    </row>
    <row r="51" spans="1:18" ht="15" x14ac:dyDescent="0.25">
      <c r="A51" s="3" t="s">
        <v>248</v>
      </c>
      <c r="B51" s="1">
        <v>2</v>
      </c>
      <c r="D51" s="3" t="s">
        <v>249</v>
      </c>
      <c r="E51" s="1" t="s">
        <v>149</v>
      </c>
      <c r="O51" t="s">
        <v>272</v>
      </c>
      <c r="R51" t="s">
        <v>293</v>
      </c>
    </row>
    <row r="52" spans="1:18" ht="15" x14ac:dyDescent="0.25">
      <c r="A52" s="3" t="s">
        <v>251</v>
      </c>
      <c r="B52" s="1">
        <v>3</v>
      </c>
      <c r="D52" s="3" t="s">
        <v>236</v>
      </c>
      <c r="E52" s="1">
        <v>1</v>
      </c>
      <c r="O52" t="s">
        <v>512</v>
      </c>
      <c r="R52" t="s">
        <v>296</v>
      </c>
    </row>
    <row r="53" spans="1:18" ht="15" x14ac:dyDescent="0.25">
      <c r="A53" s="3" t="s">
        <v>254</v>
      </c>
      <c r="B53" s="1">
        <v>4</v>
      </c>
      <c r="D53" s="3" t="s">
        <v>238</v>
      </c>
      <c r="E53" s="1">
        <v>10</v>
      </c>
      <c r="O53" t="s">
        <v>513</v>
      </c>
      <c r="R53" t="s">
        <v>298</v>
      </c>
    </row>
    <row r="54" spans="1:18" ht="15" x14ac:dyDescent="0.25">
      <c r="A54" s="3" t="s">
        <v>255</v>
      </c>
      <c r="B54" s="1">
        <v>3</v>
      </c>
      <c r="D54" s="3" t="s">
        <v>240</v>
      </c>
      <c r="E54" s="1">
        <v>3</v>
      </c>
      <c r="O54" t="s">
        <v>274</v>
      </c>
      <c r="R54" t="s">
        <v>303</v>
      </c>
    </row>
    <row r="55" spans="1:18" ht="15" x14ac:dyDescent="0.25">
      <c r="A55" s="3" t="s">
        <v>256</v>
      </c>
      <c r="B55" s="1">
        <v>1</v>
      </c>
      <c r="D55" s="3" t="s">
        <v>242</v>
      </c>
      <c r="E55" s="1">
        <v>8</v>
      </c>
      <c r="O55" t="s">
        <v>276</v>
      </c>
      <c r="R55" t="s">
        <v>467</v>
      </c>
    </row>
    <row r="56" spans="1:18" ht="15" x14ac:dyDescent="0.25">
      <c r="A56" s="3" t="s">
        <v>258</v>
      </c>
      <c r="B56" s="1">
        <v>5</v>
      </c>
      <c r="D56" s="3" t="s">
        <v>244</v>
      </c>
      <c r="E56" s="1">
        <v>10</v>
      </c>
      <c r="O56" t="s">
        <v>279</v>
      </c>
      <c r="R56" t="s">
        <v>312</v>
      </c>
    </row>
    <row r="57" spans="1:18" ht="15" x14ac:dyDescent="0.25">
      <c r="A57" s="3" t="s">
        <v>261</v>
      </c>
      <c r="B57" s="1">
        <v>2</v>
      </c>
      <c r="D57" s="3" t="s">
        <v>246</v>
      </c>
      <c r="E57" s="1">
        <v>9</v>
      </c>
      <c r="O57" t="s">
        <v>282</v>
      </c>
      <c r="R57" t="s">
        <v>312</v>
      </c>
    </row>
    <row r="58" spans="1:18" ht="15" x14ac:dyDescent="0.25">
      <c r="A58" s="3" t="s">
        <v>263</v>
      </c>
      <c r="B58" s="1">
        <v>9</v>
      </c>
      <c r="D58" s="3" t="s">
        <v>248</v>
      </c>
      <c r="E58" s="1">
        <v>2</v>
      </c>
      <c r="O58" t="s">
        <v>514</v>
      </c>
      <c r="R58" t="s">
        <v>312</v>
      </c>
    </row>
    <row r="59" spans="1:18" ht="15" x14ac:dyDescent="0.25">
      <c r="A59" s="3" t="s">
        <v>264</v>
      </c>
      <c r="B59" s="1">
        <v>4</v>
      </c>
      <c r="D59" s="3" t="s">
        <v>265</v>
      </c>
      <c r="E59" s="1" t="s">
        <v>149</v>
      </c>
      <c r="O59" t="s">
        <v>515</v>
      </c>
      <c r="R59" t="s">
        <v>315</v>
      </c>
    </row>
    <row r="60" spans="1:18" ht="15" x14ac:dyDescent="0.25">
      <c r="A60" s="3" t="s">
        <v>267</v>
      </c>
      <c r="B60" s="1">
        <v>5</v>
      </c>
      <c r="D60" s="3" t="s">
        <v>251</v>
      </c>
      <c r="E60" s="1">
        <v>3</v>
      </c>
      <c r="O60" t="s">
        <v>287</v>
      </c>
      <c r="R60" t="s">
        <v>318</v>
      </c>
    </row>
    <row r="61" spans="1:18" ht="15" x14ac:dyDescent="0.25">
      <c r="A61" s="3" t="s">
        <v>268</v>
      </c>
      <c r="B61" s="1">
        <v>6</v>
      </c>
      <c r="D61" s="3" t="s">
        <v>254</v>
      </c>
      <c r="E61" s="1">
        <v>4</v>
      </c>
      <c r="O61" t="s">
        <v>291</v>
      </c>
      <c r="R61" t="s">
        <v>322</v>
      </c>
    </row>
    <row r="62" spans="1:18" ht="15" x14ac:dyDescent="0.25">
      <c r="A62" s="3" t="s">
        <v>271</v>
      </c>
      <c r="B62" s="1">
        <v>5</v>
      </c>
      <c r="D62" s="3" t="s">
        <v>255</v>
      </c>
      <c r="E62" s="1">
        <v>3</v>
      </c>
      <c r="O62" t="s">
        <v>516</v>
      </c>
      <c r="R62" t="s">
        <v>327</v>
      </c>
    </row>
    <row r="63" spans="1:18" ht="15" x14ac:dyDescent="0.25">
      <c r="A63" s="3" t="s">
        <v>273</v>
      </c>
      <c r="B63" s="1">
        <v>2</v>
      </c>
      <c r="D63" s="3" t="s">
        <v>256</v>
      </c>
      <c r="E63" s="1">
        <v>1</v>
      </c>
      <c r="O63" t="s">
        <v>517</v>
      </c>
      <c r="R63" t="s">
        <v>468</v>
      </c>
    </row>
    <row r="64" spans="1:18" ht="15" x14ac:dyDescent="0.25">
      <c r="A64" s="3" t="s">
        <v>275</v>
      </c>
      <c r="B64" s="1">
        <v>5</v>
      </c>
      <c r="D64" s="3" t="s">
        <v>258</v>
      </c>
      <c r="E64" s="1">
        <v>5</v>
      </c>
      <c r="O64" t="s">
        <v>295</v>
      </c>
      <c r="R64" t="s">
        <v>469</v>
      </c>
    </row>
    <row r="65" spans="1:18" ht="15" x14ac:dyDescent="0.25">
      <c r="A65" s="3" t="s">
        <v>278</v>
      </c>
      <c r="B65" s="1">
        <v>5</v>
      </c>
      <c r="D65" s="3" t="s">
        <v>261</v>
      </c>
      <c r="E65" s="1">
        <v>2</v>
      </c>
      <c r="O65" t="s">
        <v>301</v>
      </c>
      <c r="R65" t="s">
        <v>470</v>
      </c>
    </row>
    <row r="66" spans="1:18" ht="15" x14ac:dyDescent="0.25">
      <c r="A66" s="3" t="s">
        <v>281</v>
      </c>
      <c r="B66" s="1">
        <v>6</v>
      </c>
      <c r="D66" s="3" t="s">
        <v>263</v>
      </c>
      <c r="E66" s="1">
        <v>9</v>
      </c>
      <c r="O66" t="s">
        <v>305</v>
      </c>
      <c r="R66" t="s">
        <v>471</v>
      </c>
    </row>
    <row r="67" spans="1:18" ht="15" x14ac:dyDescent="0.25">
      <c r="A67" s="3" t="s">
        <v>284</v>
      </c>
      <c r="B67" s="1">
        <v>4</v>
      </c>
      <c r="D67" s="3" t="s">
        <v>264</v>
      </c>
      <c r="E67" s="1">
        <v>4</v>
      </c>
      <c r="O67" t="s">
        <v>307</v>
      </c>
      <c r="R67" t="s">
        <v>472</v>
      </c>
    </row>
    <row r="68" spans="1:18" ht="15" x14ac:dyDescent="0.25">
      <c r="A68" s="3" t="s">
        <v>285</v>
      </c>
      <c r="B68" s="1">
        <v>8</v>
      </c>
      <c r="D68" s="3" t="s">
        <v>267</v>
      </c>
      <c r="E68" s="1">
        <v>5</v>
      </c>
      <c r="O68" t="s">
        <v>309</v>
      </c>
      <c r="R68" t="s">
        <v>473</v>
      </c>
    </row>
    <row r="69" spans="1:18" ht="15" x14ac:dyDescent="0.25">
      <c r="A69" s="3" t="s">
        <v>286</v>
      </c>
      <c r="B69" s="1">
        <v>5</v>
      </c>
      <c r="D69" s="3" t="s">
        <v>268</v>
      </c>
      <c r="E69" s="1">
        <v>6</v>
      </c>
      <c r="O69" t="s">
        <v>518</v>
      </c>
      <c r="R69" t="s">
        <v>474</v>
      </c>
    </row>
    <row r="70" spans="1:18" ht="15" x14ac:dyDescent="0.25">
      <c r="A70" s="3" t="s">
        <v>288</v>
      </c>
      <c r="B70" s="1">
        <v>8</v>
      </c>
      <c r="D70" s="3" t="s">
        <v>271</v>
      </c>
      <c r="E70" s="1">
        <v>5</v>
      </c>
      <c r="O70" t="s">
        <v>519</v>
      </c>
      <c r="R70" t="s">
        <v>335</v>
      </c>
    </row>
    <row r="71" spans="1:18" ht="15" x14ac:dyDescent="0.25">
      <c r="A71" s="3" t="s">
        <v>290</v>
      </c>
      <c r="B71" s="1">
        <v>6</v>
      </c>
      <c r="D71" s="3" t="s">
        <v>273</v>
      </c>
      <c r="E71" s="1">
        <v>2</v>
      </c>
      <c r="O71" t="s">
        <v>520</v>
      </c>
      <c r="R71" t="s">
        <v>335</v>
      </c>
    </row>
    <row r="72" spans="1:18" ht="15" x14ac:dyDescent="0.25">
      <c r="A72" s="3" t="s">
        <v>292</v>
      </c>
      <c r="B72" s="1">
        <v>1</v>
      </c>
      <c r="D72" s="3" t="s">
        <v>275</v>
      </c>
      <c r="E72" s="1">
        <v>5</v>
      </c>
      <c r="O72" t="s">
        <v>314</v>
      </c>
      <c r="R72" t="s">
        <v>339</v>
      </c>
    </row>
    <row r="73" spans="1:18" ht="15" x14ac:dyDescent="0.25">
      <c r="A73" s="3" t="s">
        <v>294</v>
      </c>
      <c r="B73" s="1">
        <v>10</v>
      </c>
      <c r="D73" s="3" t="s">
        <v>278</v>
      </c>
      <c r="E73" s="1">
        <v>5</v>
      </c>
      <c r="O73" t="s">
        <v>317</v>
      </c>
      <c r="R73" t="s">
        <v>475</v>
      </c>
    </row>
    <row r="74" spans="1:18" ht="15" x14ac:dyDescent="0.25">
      <c r="A74" s="3" t="s">
        <v>297</v>
      </c>
      <c r="B74" s="1">
        <v>5</v>
      </c>
      <c r="D74" s="3" t="s">
        <v>281</v>
      </c>
      <c r="E74" s="1">
        <v>6</v>
      </c>
      <c r="O74" t="s">
        <v>321</v>
      </c>
      <c r="R74" t="s">
        <v>342</v>
      </c>
    </row>
    <row r="75" spans="1:18" ht="15" x14ac:dyDescent="0.25">
      <c r="A75" s="3" t="s">
        <v>299</v>
      </c>
      <c r="B75" s="1">
        <v>2</v>
      </c>
      <c r="D75" s="3" t="s">
        <v>300</v>
      </c>
      <c r="E75" s="1" t="s">
        <v>149</v>
      </c>
      <c r="O75" t="s">
        <v>324</v>
      </c>
      <c r="R75" t="s">
        <v>476</v>
      </c>
    </row>
    <row r="76" spans="1:18" ht="15" x14ac:dyDescent="0.25">
      <c r="A76" s="3" t="s">
        <v>302</v>
      </c>
      <c r="B76" s="1">
        <v>4</v>
      </c>
      <c r="D76" s="3" t="s">
        <v>284</v>
      </c>
      <c r="E76" s="1">
        <v>4</v>
      </c>
      <c r="O76" t="s">
        <v>326</v>
      </c>
      <c r="R76" t="s">
        <v>477</v>
      </c>
    </row>
    <row r="77" spans="1:18" ht="15" x14ac:dyDescent="0.25">
      <c r="A77" s="3" t="s">
        <v>304</v>
      </c>
      <c r="B77" s="1">
        <v>9</v>
      </c>
      <c r="D77" s="3" t="s">
        <v>285</v>
      </c>
      <c r="E77" s="1">
        <v>8</v>
      </c>
      <c r="O77" t="s">
        <v>329</v>
      </c>
      <c r="R77" t="s">
        <v>348</v>
      </c>
    </row>
    <row r="78" spans="1:18" ht="15" x14ac:dyDescent="0.25">
      <c r="A78" s="3" t="s">
        <v>306</v>
      </c>
      <c r="B78" s="1">
        <v>5</v>
      </c>
      <c r="D78" s="3" t="s">
        <v>286</v>
      </c>
      <c r="E78" s="1">
        <v>5</v>
      </c>
      <c r="O78" t="s">
        <v>521</v>
      </c>
      <c r="R78" t="s">
        <v>478</v>
      </c>
    </row>
    <row r="79" spans="1:18" ht="15" x14ac:dyDescent="0.25">
      <c r="A79" s="3" t="s">
        <v>308</v>
      </c>
      <c r="B79" s="1">
        <v>3</v>
      </c>
      <c r="D79" s="3" t="s">
        <v>288</v>
      </c>
      <c r="E79" s="1">
        <v>8</v>
      </c>
      <c r="O79" t="s">
        <v>333</v>
      </c>
      <c r="R79" t="s">
        <v>354</v>
      </c>
    </row>
    <row r="80" spans="1:18" ht="15" x14ac:dyDescent="0.25">
      <c r="A80" s="3" t="s">
        <v>310</v>
      </c>
      <c r="B80" s="1">
        <v>2</v>
      </c>
      <c r="D80" s="3" t="s">
        <v>290</v>
      </c>
      <c r="E80" s="1">
        <v>6</v>
      </c>
      <c r="O80" s="199" t="s">
        <v>337</v>
      </c>
      <c r="R80" t="s">
        <v>357</v>
      </c>
    </row>
    <row r="81" spans="1:18" ht="15" x14ac:dyDescent="0.25">
      <c r="A81" s="3" t="s">
        <v>311</v>
      </c>
      <c r="B81" s="1">
        <v>3</v>
      </c>
      <c r="D81" s="3" t="s">
        <v>292</v>
      </c>
      <c r="E81" s="1">
        <v>1</v>
      </c>
      <c r="O81" s="199" t="s">
        <v>341</v>
      </c>
      <c r="R81" t="s">
        <v>479</v>
      </c>
    </row>
    <row r="82" spans="1:18" ht="15" x14ac:dyDescent="0.25">
      <c r="A82" s="3" t="s">
        <v>313</v>
      </c>
      <c r="B82" s="1">
        <v>4</v>
      </c>
      <c r="D82" s="3" t="s">
        <v>294</v>
      </c>
      <c r="E82" s="1">
        <v>10</v>
      </c>
      <c r="O82" s="200" t="s">
        <v>522</v>
      </c>
      <c r="R82" t="s">
        <v>480</v>
      </c>
    </row>
    <row r="83" spans="1:18" ht="15" x14ac:dyDescent="0.25">
      <c r="A83" s="3" t="s">
        <v>316</v>
      </c>
      <c r="B83" s="1">
        <v>7</v>
      </c>
      <c r="D83" s="3" t="s">
        <v>297</v>
      </c>
      <c r="E83" s="1">
        <v>5</v>
      </c>
      <c r="O83" s="199" t="s">
        <v>345</v>
      </c>
      <c r="R83" t="s">
        <v>364</v>
      </c>
    </row>
    <row r="84" spans="1:18" ht="15" x14ac:dyDescent="0.25">
      <c r="A84" s="3" t="s">
        <v>319</v>
      </c>
      <c r="B84" s="1">
        <v>7</v>
      </c>
      <c r="D84" s="3" t="s">
        <v>299</v>
      </c>
      <c r="E84" s="1">
        <v>2</v>
      </c>
      <c r="O84" t="s">
        <v>347</v>
      </c>
      <c r="R84" t="s">
        <v>366</v>
      </c>
    </row>
    <row r="85" spans="1:18" ht="15" x14ac:dyDescent="0.25">
      <c r="A85" s="3" t="s">
        <v>320</v>
      </c>
      <c r="B85" s="1">
        <v>10</v>
      </c>
      <c r="D85" s="3" t="s">
        <v>302</v>
      </c>
      <c r="E85" s="1">
        <v>4</v>
      </c>
      <c r="O85" s="199" t="s">
        <v>523</v>
      </c>
      <c r="R85" t="s">
        <v>481</v>
      </c>
    </row>
    <row r="86" spans="1:18" ht="15" x14ac:dyDescent="0.25">
      <c r="A86" s="3" t="s">
        <v>323</v>
      </c>
      <c r="B86" s="1">
        <v>3</v>
      </c>
      <c r="D86" s="3" t="s">
        <v>304</v>
      </c>
      <c r="E86" s="1">
        <v>9</v>
      </c>
      <c r="O86" t="s">
        <v>353</v>
      </c>
      <c r="R86" t="s">
        <v>369</v>
      </c>
    </row>
    <row r="87" spans="1:18" ht="15" x14ac:dyDescent="0.25">
      <c r="A87" s="3" t="s">
        <v>325</v>
      </c>
      <c r="B87" s="1">
        <v>3</v>
      </c>
      <c r="D87" s="3" t="s">
        <v>306</v>
      </c>
      <c r="E87" s="1">
        <v>5</v>
      </c>
      <c r="O87" t="s">
        <v>524</v>
      </c>
      <c r="R87" t="s">
        <v>371</v>
      </c>
    </row>
    <row r="88" spans="1:18" ht="15" x14ac:dyDescent="0.25">
      <c r="A88" s="3" t="s">
        <v>328</v>
      </c>
      <c r="B88" s="1">
        <v>6</v>
      </c>
      <c r="D88" s="3" t="s">
        <v>308</v>
      </c>
      <c r="E88" s="1">
        <v>3</v>
      </c>
      <c r="O88" t="s">
        <v>356</v>
      </c>
      <c r="R88" t="s">
        <v>374</v>
      </c>
    </row>
    <row r="89" spans="1:18" ht="15" x14ac:dyDescent="0.25">
      <c r="A89" s="3" t="s">
        <v>330</v>
      </c>
      <c r="B89" s="1">
        <v>8</v>
      </c>
      <c r="D89" s="3" t="s">
        <v>310</v>
      </c>
      <c r="E89" s="1">
        <v>2</v>
      </c>
      <c r="O89" t="s">
        <v>360</v>
      </c>
      <c r="R89" t="s">
        <v>376</v>
      </c>
    </row>
    <row r="90" spans="1:18" ht="15" x14ac:dyDescent="0.25">
      <c r="A90" s="3" t="s">
        <v>331</v>
      </c>
      <c r="B90" s="1">
        <v>2</v>
      </c>
      <c r="D90" s="3" t="s">
        <v>311</v>
      </c>
      <c r="E90" s="1">
        <v>3</v>
      </c>
      <c r="O90" s="199" t="s">
        <v>525</v>
      </c>
      <c r="R90" t="s">
        <v>482</v>
      </c>
    </row>
    <row r="91" spans="1:18" ht="15" x14ac:dyDescent="0.25">
      <c r="A91" s="3" t="s">
        <v>332</v>
      </c>
      <c r="B91" s="1">
        <v>10</v>
      </c>
      <c r="D91" s="3" t="s">
        <v>313</v>
      </c>
      <c r="E91" s="1">
        <v>4</v>
      </c>
      <c r="O91" s="199" t="s">
        <v>363</v>
      </c>
      <c r="R91" t="s">
        <v>483</v>
      </c>
    </row>
    <row r="92" spans="1:18" ht="15" x14ac:dyDescent="0.25">
      <c r="A92" s="3" t="s">
        <v>334</v>
      </c>
      <c r="B92" s="1">
        <v>1</v>
      </c>
      <c r="D92" s="3" t="s">
        <v>316</v>
      </c>
      <c r="E92" s="1">
        <v>7</v>
      </c>
      <c r="O92" t="s">
        <v>365</v>
      </c>
      <c r="R92" t="s">
        <v>484</v>
      </c>
    </row>
    <row r="93" spans="1:18" ht="15" x14ac:dyDescent="0.25">
      <c r="A93" s="3" t="s">
        <v>336</v>
      </c>
      <c r="B93" s="1">
        <v>1</v>
      </c>
      <c r="D93" s="3" t="s">
        <v>319</v>
      </c>
      <c r="E93" s="1">
        <v>7</v>
      </c>
      <c r="O93" t="s">
        <v>526</v>
      </c>
      <c r="R93" t="s">
        <v>378</v>
      </c>
    </row>
    <row r="94" spans="1:18" ht="15" x14ac:dyDescent="0.25">
      <c r="A94" s="3" t="s">
        <v>338</v>
      </c>
      <c r="B94" s="1">
        <v>6</v>
      </c>
      <c r="D94" s="3" t="s">
        <v>320</v>
      </c>
      <c r="E94" s="1">
        <v>10</v>
      </c>
      <c r="O94" t="s">
        <v>367</v>
      </c>
      <c r="R94" t="s">
        <v>409</v>
      </c>
    </row>
    <row r="95" spans="1:18" ht="15" x14ac:dyDescent="0.25">
      <c r="A95" s="3" t="s">
        <v>340</v>
      </c>
      <c r="B95" s="1">
        <v>9</v>
      </c>
      <c r="D95" s="3" t="s">
        <v>323</v>
      </c>
      <c r="E95" s="1">
        <v>3</v>
      </c>
      <c r="O95" t="s">
        <v>368</v>
      </c>
      <c r="R95" t="s">
        <v>383</v>
      </c>
    </row>
    <row r="96" spans="1:18" ht="15" x14ac:dyDescent="0.25">
      <c r="A96" s="3" t="s">
        <v>343</v>
      </c>
      <c r="B96" s="1">
        <v>3</v>
      </c>
      <c r="D96" s="3" t="s">
        <v>325</v>
      </c>
      <c r="E96" s="1">
        <v>3</v>
      </c>
      <c r="O96" t="s">
        <v>370</v>
      </c>
      <c r="R96" t="s">
        <v>485</v>
      </c>
    </row>
    <row r="97" spans="1:18" ht="15" x14ac:dyDescent="0.25">
      <c r="A97" s="3" t="s">
        <v>344</v>
      </c>
      <c r="B97" s="1">
        <v>9</v>
      </c>
      <c r="D97" s="3" t="s">
        <v>328</v>
      </c>
      <c r="E97" s="1">
        <v>6</v>
      </c>
      <c r="O97" t="s">
        <v>373</v>
      </c>
      <c r="R97" t="s">
        <v>385</v>
      </c>
    </row>
    <row r="98" spans="1:18" ht="15" x14ac:dyDescent="0.25">
      <c r="A98" s="3" t="s">
        <v>346</v>
      </c>
      <c r="B98" s="1">
        <v>8</v>
      </c>
      <c r="D98" s="3" t="s">
        <v>330</v>
      </c>
      <c r="E98" s="1">
        <v>8</v>
      </c>
      <c r="O98" t="s">
        <v>375</v>
      </c>
      <c r="R98" t="s">
        <v>386</v>
      </c>
    </row>
    <row r="99" spans="1:18" ht="15" x14ac:dyDescent="0.25">
      <c r="A99" s="3" t="s">
        <v>349</v>
      </c>
      <c r="B99" s="1">
        <v>9</v>
      </c>
      <c r="D99" s="3" t="s">
        <v>331</v>
      </c>
      <c r="E99" s="1">
        <v>2</v>
      </c>
      <c r="O99" t="s">
        <v>414</v>
      </c>
      <c r="R99" t="s">
        <v>387</v>
      </c>
    </row>
    <row r="100" spans="1:18" ht="15" x14ac:dyDescent="0.25">
      <c r="A100" s="3" t="s">
        <v>350</v>
      </c>
      <c r="B100" s="1">
        <v>1</v>
      </c>
      <c r="D100" s="3" t="s">
        <v>351</v>
      </c>
      <c r="E100" s="1" t="s">
        <v>149</v>
      </c>
      <c r="O100" t="s">
        <v>377</v>
      </c>
      <c r="R100" t="s">
        <v>388</v>
      </c>
    </row>
    <row r="101" spans="1:18" ht="15" x14ac:dyDescent="0.25">
      <c r="A101" s="3" t="s">
        <v>352</v>
      </c>
      <c r="B101" s="1">
        <v>7</v>
      </c>
      <c r="D101" s="3" t="s">
        <v>332</v>
      </c>
      <c r="E101" s="1">
        <v>10</v>
      </c>
      <c r="O101" t="s">
        <v>380</v>
      </c>
      <c r="R101" t="s">
        <v>486</v>
      </c>
    </row>
    <row r="102" spans="1:18" ht="15" x14ac:dyDescent="0.25">
      <c r="A102" s="3" t="s">
        <v>355</v>
      </c>
      <c r="B102" s="1">
        <v>4</v>
      </c>
      <c r="D102" s="3" t="s">
        <v>334</v>
      </c>
      <c r="E102" s="1">
        <v>1</v>
      </c>
      <c r="O102" t="s">
        <v>381</v>
      </c>
      <c r="R102" t="s">
        <v>389</v>
      </c>
    </row>
    <row r="103" spans="1:18" ht="15" x14ac:dyDescent="0.25">
      <c r="A103" s="3" t="s">
        <v>358</v>
      </c>
      <c r="B103" s="1">
        <v>8</v>
      </c>
      <c r="D103" s="3" t="s">
        <v>359</v>
      </c>
      <c r="E103" s="1" t="s">
        <v>149</v>
      </c>
      <c r="R103" t="s">
        <v>390</v>
      </c>
    </row>
    <row r="104" spans="1:18" ht="15" x14ac:dyDescent="0.25">
      <c r="A104" s="3" t="s">
        <v>361</v>
      </c>
      <c r="B104" s="1" t="s">
        <v>149</v>
      </c>
      <c r="D104" s="3" t="s">
        <v>362</v>
      </c>
      <c r="E104" s="1" t="s">
        <v>149</v>
      </c>
      <c r="R104" t="s">
        <v>391</v>
      </c>
    </row>
    <row r="105" spans="1:18" ht="15" x14ac:dyDescent="0.25">
      <c r="D105" s="3" t="s">
        <v>336</v>
      </c>
      <c r="E105" s="1">
        <v>1</v>
      </c>
      <c r="R105" t="s">
        <v>487</v>
      </c>
    </row>
    <row r="106" spans="1:18" ht="15" x14ac:dyDescent="0.25">
      <c r="D106" s="3" t="s">
        <v>338</v>
      </c>
      <c r="E106" s="1">
        <v>6</v>
      </c>
      <c r="R106" t="s">
        <v>392</v>
      </c>
    </row>
    <row r="107" spans="1:18" ht="15" x14ac:dyDescent="0.25">
      <c r="D107" s="3" t="s">
        <v>340</v>
      </c>
      <c r="E107" s="1">
        <v>9</v>
      </c>
      <c r="R107" t="s">
        <v>393</v>
      </c>
    </row>
    <row r="108" spans="1:18" ht="15" x14ac:dyDescent="0.25">
      <c r="D108" s="3" t="s">
        <v>343</v>
      </c>
      <c r="E108" s="1">
        <v>3</v>
      </c>
      <c r="R108" t="s">
        <v>410</v>
      </c>
    </row>
    <row r="109" spans="1:18" ht="15" x14ac:dyDescent="0.25">
      <c r="D109" s="3" t="s">
        <v>344</v>
      </c>
      <c r="E109" s="1">
        <v>9</v>
      </c>
      <c r="R109" t="s">
        <v>488</v>
      </c>
    </row>
    <row r="110" spans="1:18" ht="15" x14ac:dyDescent="0.25">
      <c r="D110" s="3" t="s">
        <v>346</v>
      </c>
      <c r="E110" s="1">
        <v>8</v>
      </c>
      <c r="R110" t="s">
        <v>489</v>
      </c>
    </row>
    <row r="111" spans="1:18" ht="15" x14ac:dyDescent="0.25">
      <c r="D111" s="3" t="s">
        <v>349</v>
      </c>
      <c r="E111" s="1">
        <v>9</v>
      </c>
      <c r="R111" t="s">
        <v>490</v>
      </c>
    </row>
    <row r="112" spans="1:18" ht="15" x14ac:dyDescent="0.25">
      <c r="D112" s="3" t="s">
        <v>372</v>
      </c>
      <c r="E112" s="1" t="s">
        <v>149</v>
      </c>
      <c r="R112" t="s">
        <v>411</v>
      </c>
    </row>
    <row r="113" spans="4:18" ht="15" x14ac:dyDescent="0.25">
      <c r="D113" s="3" t="s">
        <v>350</v>
      </c>
      <c r="E113" s="1">
        <v>1</v>
      </c>
      <c r="R113" t="s">
        <v>491</v>
      </c>
    </row>
    <row r="114" spans="4:18" ht="15" x14ac:dyDescent="0.25">
      <c r="D114" s="3" t="s">
        <v>352</v>
      </c>
      <c r="E114" s="1">
        <v>7</v>
      </c>
      <c r="R114" t="s">
        <v>492</v>
      </c>
    </row>
    <row r="115" spans="4:18" ht="15" x14ac:dyDescent="0.25">
      <c r="D115" s="3" t="s">
        <v>379</v>
      </c>
      <c r="E115" s="1" t="s">
        <v>149</v>
      </c>
      <c r="R115" t="s">
        <v>493</v>
      </c>
    </row>
    <row r="116" spans="4:18" ht="15" x14ac:dyDescent="0.25">
      <c r="D116" s="3" t="s">
        <v>355</v>
      </c>
      <c r="E116" s="1">
        <v>4</v>
      </c>
      <c r="R116" t="s">
        <v>394</v>
      </c>
    </row>
    <row r="117" spans="4:18" ht="15" x14ac:dyDescent="0.25">
      <c r="D117" s="3" t="s">
        <v>358</v>
      </c>
      <c r="E117" s="1">
        <v>8</v>
      </c>
      <c r="R117" t="s">
        <v>494</v>
      </c>
    </row>
    <row r="118" spans="4:18" ht="15" x14ac:dyDescent="0.25">
      <c r="D118" s="3" t="s">
        <v>382</v>
      </c>
      <c r="E118" s="1" t="s">
        <v>149</v>
      </c>
      <c r="R118" t="s">
        <v>495</v>
      </c>
    </row>
    <row r="119" spans="4:18" ht="15" x14ac:dyDescent="0.25">
      <c r="D119" s="3" t="s">
        <v>384</v>
      </c>
      <c r="E119" s="1" t="s">
        <v>149</v>
      </c>
      <c r="R119" t="s">
        <v>496</v>
      </c>
    </row>
    <row r="120" spans="4:18" ht="15" x14ac:dyDescent="0.25">
      <c r="D120" s="3" t="s">
        <v>361</v>
      </c>
      <c r="E120" s="1" t="s">
        <v>149</v>
      </c>
      <c r="R120" t="s">
        <v>412</v>
      </c>
    </row>
    <row r="121" spans="4:18" x14ac:dyDescent="0.2">
      <c r="R121" t="s">
        <v>395</v>
      </c>
    </row>
    <row r="122" spans="4:18" x14ac:dyDescent="0.2">
      <c r="R122" t="s">
        <v>396</v>
      </c>
    </row>
    <row r="123" spans="4:18" x14ac:dyDescent="0.2">
      <c r="R123" t="s">
        <v>397</v>
      </c>
    </row>
    <row r="124" spans="4:18" x14ac:dyDescent="0.2">
      <c r="R124" t="s">
        <v>398</v>
      </c>
    </row>
    <row r="125" spans="4:18" x14ac:dyDescent="0.2">
      <c r="R125" t="s">
        <v>399</v>
      </c>
    </row>
    <row r="126" spans="4:18" x14ac:dyDescent="0.2">
      <c r="R126" t="s">
        <v>497</v>
      </c>
    </row>
    <row r="127" spans="4:18" x14ac:dyDescent="0.2">
      <c r="R127" t="s">
        <v>413</v>
      </c>
    </row>
    <row r="128" spans="4:18" x14ac:dyDescent="0.2">
      <c r="R128" t="s">
        <v>498</v>
      </c>
    </row>
    <row r="129" spans="18:18" x14ac:dyDescent="0.2">
      <c r="R129" t="s">
        <v>400</v>
      </c>
    </row>
    <row r="130" spans="18:18" x14ac:dyDescent="0.2">
      <c r="R130" t="s">
        <v>401</v>
      </c>
    </row>
    <row r="131" spans="18:18" x14ac:dyDescent="0.2">
      <c r="R131" t="s">
        <v>499</v>
      </c>
    </row>
    <row r="132" spans="18:18" x14ac:dyDescent="0.2">
      <c r="R132" t="s">
        <v>402</v>
      </c>
    </row>
    <row r="133" spans="18:18" x14ac:dyDescent="0.2">
      <c r="R133" t="s">
        <v>403</v>
      </c>
    </row>
    <row r="134" spans="18:18" x14ac:dyDescent="0.2">
      <c r="R134" t="s">
        <v>404</v>
      </c>
    </row>
    <row r="135" spans="18:18" x14ac:dyDescent="0.2">
      <c r="R135" t="s">
        <v>405</v>
      </c>
    </row>
  </sheetData>
  <sortState xmlns:xlrd2="http://schemas.microsoft.com/office/spreadsheetml/2017/richdata2" ref="R3:R120">
    <sortCondition ref="R3:R120"/>
  </sortState>
  <mergeCells count="2">
    <mergeCell ref="A1:B1"/>
    <mergeCell ref="D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2B94EC3DAF54F87402AFC32222882" ma:contentTypeVersion="18" ma:contentTypeDescription="Create a new document." ma:contentTypeScope="" ma:versionID="2b6c6cdae9ad2c62b04216a661cdd246">
  <xsd:schema xmlns:xsd="http://www.w3.org/2001/XMLSchema" xmlns:xs="http://www.w3.org/2001/XMLSchema" xmlns:p="http://schemas.microsoft.com/office/2006/metadata/properties" xmlns:ns2="b0a9aaca-c659-4a7f-9387-1b7c1eaf7c09" xmlns:ns3="fc9b6f49-082d-44e0-9006-f689bb0e892e" targetNamespace="http://schemas.microsoft.com/office/2006/metadata/properties" ma:root="true" ma:fieldsID="d33443d4e466c928daf6c763922dd606" ns2:_="" ns3:_="">
    <xsd:import namespace="b0a9aaca-c659-4a7f-9387-1b7c1eaf7c09"/>
    <xsd:import namespace="fc9b6f49-082d-44e0-9006-f689bb0e8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9aaca-c659-4a7f-9387-1b7c1eaf7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632845-b826-4789-b9e5-cd958a172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b6f49-082d-44e0-9006-f689bb0e8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b934019-5838-40c7-b90f-55977be54b03}" ma:internalName="TaxCatchAll" ma:showField="CatchAllData" ma:web="fc9b6f49-082d-44e0-9006-f689bb0e8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j 3 C N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C P c I 1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3 C N V S i K R 7 g O A A A A E Q A A A B M A H A B G b 3 J t d W x h c y 9 T Z W N 0 a W 9 u M S 5 t I K I Y A C i g F A A A A A A A A A A A A A A A A A A A A A A A A A A A A C t O T S 7 J z M 9 T C I b Q h t Y A U E s B A i 0 A F A A C A A g A j 3 C N V a F C A Y G j A A A A 9 g A A A B I A A A A A A A A A A A A A A A A A A A A A A E N v b m Z p Z y 9 Q Y W N r Y W d l L n h t b F B L A Q I t A B Q A A g A I A I 9 w j V U P y u m r p A A A A O k A A A A T A A A A A A A A A A A A A A A A A O 8 A A A B b Q 2 9 u d G V u d F 9 U e X B l c 1 0 u e G 1 s U E s B A i 0 A F A A C A A g A j 3 C N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W m v / Y L 1 W 5 O o F n b h h l r W F U A A A A A A g A A A A A A E G Y A A A A B A A A g A A A A F t V / r N N I b 0 c U r x z b U 0 W S 3 3 S c d s F q b n W U M E B Y d X 1 Q t 2 4 A A A A A D o A A A A A C A A A g A A A A V S M w F F Z A U 5 e 5 u Q a M g b 2 N j o t / g w F a b 9 K D J t S R p 3 h H j w Z Q A A A A K v E x r p S R B f A L b n p l E V f 8 E P W L L n D I z s 1 B 2 Q P E C S M u A Y k h E z k d 0 k T z z h N V + 5 z o E G B y a q L j / D D I / E h D W 3 h A n / C d g / g N 6 8 E U I k l 6 D 1 i i U h R 0 s V J A A A A A M F e S l s o G O t v a q w 2 6 n Y M R m f l 9 S 7 I g J 8 j W 6 Y g Q g z w e 6 x l J m G o 2 y v w d s K w V m O t / j a N A c O 0 0 b S O C y m s N J U O j v D M e V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9b6f49-082d-44e0-9006-f689bb0e892e" xsi:nil="true"/>
    <lcf76f155ced4ddcb4097134ff3c332f xmlns="b0a9aaca-c659-4a7f-9387-1b7c1eaf7c09">
      <Terms xmlns="http://schemas.microsoft.com/office/infopath/2007/PartnerControls"/>
    </lcf76f155ced4ddcb4097134ff3c332f>
    <SharedWithUsers xmlns="fc9b6f49-082d-44e0-9006-f689bb0e892e">
      <UserInfo>
        <DisplayName/>
        <AccountId xsi:nil="true"/>
        <AccountType/>
      </UserInfo>
    </SharedWithUsers>
    <MediaLengthInSeconds xmlns="b0a9aaca-c659-4a7f-9387-1b7c1eaf7c0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4F6794-E9D5-4691-AF84-4E511F1D7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a9aaca-c659-4a7f-9387-1b7c1eaf7c09"/>
    <ds:schemaRef ds:uri="fc9b6f49-082d-44e0-9006-f689bb0e8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424C29-1666-4AFD-9BB1-694BB17FAEA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E1315F5-0F63-4084-A89A-EA6B50D4A67A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b0a9aaca-c659-4a7f-9387-1b7c1eaf7c09"/>
    <ds:schemaRef ds:uri="fc9b6f49-082d-44e0-9006-f689bb0e892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0722CB5-2A44-40CC-B792-1D93F43D0B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 Information</vt:lpstr>
      <vt:lpstr>Client Level Data</vt:lpstr>
      <vt:lpstr>PIT Count</vt:lpstr>
      <vt:lpstr>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Kaitlyn Poepsel</dc:creator>
  <cp:keywords/>
  <dc:description/>
  <cp:lastModifiedBy>Becca Albert</cp:lastModifiedBy>
  <cp:revision/>
  <dcterms:created xsi:type="dcterms:W3CDTF">2015-06-05T18:17:20Z</dcterms:created>
  <dcterms:modified xsi:type="dcterms:W3CDTF">2026-01-21T21:46:43Z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0x0101002402B94EC3DAF54F87402AFC32222882</vt:lpwstr>
  </property>
  <property fmtid="{D5CDD505-2E9C-101B-9397-08002B2CF9AE}" pid="3" name="Order">
    <vt:r8>28795900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